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E:\Tableaux excel1\"/>
    </mc:Choice>
  </mc:AlternateContent>
  <xr:revisionPtr revIDLastSave="0" documentId="8_{E16D90A3-63B4-4C4E-9CB6-43FF31ACD3E8}" xr6:coauthVersionLast="36" xr6:coauthVersionMax="36" xr10:uidLastSave="{00000000-0000-0000-0000-000000000000}"/>
  <bookViews>
    <workbookView xWindow="0" yWindow="0" windowWidth="21600" windowHeight="8985" firstSheet="2" activeTab="3" xr2:uid="{00000000-000D-0000-FFFF-FFFF00000000}"/>
  </bookViews>
  <sheets>
    <sheet name="tertiaire ancienne série" sheetId="4" r:id="rId1"/>
    <sheet name="calcul intermédiaire1" sheetId="5" r:id="rId2"/>
    <sheet name="calcul intermédiaire2" sheetId="6" r:id="rId3"/>
    <sheet name="emploi tertiaire série publiée" sheetId="16" r:id="rId4"/>
    <sheet name="emploi 38" sheetId="17" r:id="rId5"/>
    <sheet name="emploi 88" sheetId="18" r:id="rId6"/>
    <sheet name="calcul intermédiaire1 grahique" sheetId="7" r:id="rId7"/>
    <sheet name="clacul intermédiaire2 graphique" sheetId="12" r:id="rId8"/>
    <sheet name="calcul intermédiaire3 graphique" sheetId="13" r:id="rId9"/>
    <sheet name="calcul intermédiaire4 graphique" sheetId="14" r:id="rId10"/>
    <sheet name="graphique 2 tertiaire" sheetId="15" r:id="rId11"/>
  </sheets>
  <externalReferences>
    <externalReference r:id="rId12"/>
    <externalReference r:id="rId13"/>
  </externalReferences>
  <calcPr calcId="191028"/>
</workbook>
</file>

<file path=xl/calcChain.xml><?xml version="1.0" encoding="utf-8"?>
<calcChain xmlns="http://schemas.openxmlformats.org/spreadsheetml/2006/main">
  <c r="G59" i="16" l="1"/>
  <c r="H59" i="16"/>
  <c r="I59" i="16"/>
  <c r="J59" i="16"/>
  <c r="K59" i="16"/>
  <c r="L59" i="16"/>
  <c r="M59" i="16"/>
  <c r="N59" i="16"/>
  <c r="O59" i="16"/>
  <c r="P59" i="16"/>
  <c r="F59" i="16"/>
  <c r="H7" i="16"/>
  <c r="G58" i="16"/>
  <c r="G25" i="16"/>
  <c r="H25" i="16"/>
  <c r="I25" i="16"/>
  <c r="J25" i="16"/>
  <c r="K25" i="16"/>
  <c r="L25" i="16"/>
  <c r="M25" i="16"/>
  <c r="N25" i="16"/>
  <c r="O25" i="16"/>
  <c r="P25" i="16"/>
  <c r="G26" i="16"/>
  <c r="H26" i="16"/>
  <c r="I26" i="16"/>
  <c r="J26" i="16"/>
  <c r="K26" i="16"/>
  <c r="L26" i="16"/>
  <c r="M26" i="16"/>
  <c r="N26" i="16"/>
  <c r="O26" i="16"/>
  <c r="P26" i="16"/>
  <c r="F26" i="16"/>
  <c r="G20" i="16"/>
  <c r="H20" i="16"/>
  <c r="I20" i="16"/>
  <c r="J20" i="16"/>
  <c r="K20" i="16"/>
  <c r="L20" i="16"/>
  <c r="M20" i="16"/>
  <c r="N20" i="16"/>
  <c r="O20" i="16"/>
  <c r="P20" i="16"/>
  <c r="F20" i="16"/>
  <c r="G9" i="16"/>
  <c r="H9" i="16"/>
  <c r="I9" i="16"/>
  <c r="J9" i="16"/>
  <c r="K9" i="16"/>
  <c r="L9" i="16"/>
  <c r="M9" i="16"/>
  <c r="N9" i="16"/>
  <c r="O9" i="16"/>
  <c r="P9" i="16"/>
  <c r="F9" i="16"/>
  <c r="L46" i="16"/>
  <c r="M46" i="16"/>
  <c r="N46" i="16"/>
  <c r="O46" i="16"/>
  <c r="P46" i="16"/>
  <c r="L47" i="16"/>
  <c r="M47" i="16"/>
  <c r="N47" i="16"/>
  <c r="O47" i="16"/>
  <c r="P47" i="16"/>
  <c r="L48" i="16"/>
  <c r="M48" i="16"/>
  <c r="N48" i="16"/>
  <c r="O48" i="16"/>
  <c r="P48" i="16"/>
  <c r="L49" i="16"/>
  <c r="M49" i="16"/>
  <c r="N49" i="16"/>
  <c r="O49" i="16"/>
  <c r="P49" i="16"/>
  <c r="L50" i="16"/>
  <c r="M50" i="16"/>
  <c r="N50" i="16"/>
  <c r="O50" i="16"/>
  <c r="P50" i="16"/>
  <c r="K47" i="16"/>
  <c r="K48" i="16"/>
  <c r="K49" i="16"/>
  <c r="K50" i="16"/>
  <c r="K46" i="16"/>
  <c r="G45" i="16"/>
  <c r="H45" i="16"/>
  <c r="I45" i="16"/>
  <c r="J45" i="16"/>
  <c r="K45" i="16"/>
  <c r="L45" i="16"/>
  <c r="M45" i="16"/>
  <c r="N45" i="16"/>
  <c r="O45" i="16"/>
  <c r="P45" i="16"/>
  <c r="F45" i="16"/>
  <c r="G43" i="16"/>
  <c r="H43" i="16"/>
  <c r="I43" i="16"/>
  <c r="J43" i="16"/>
  <c r="K43" i="16"/>
  <c r="L43" i="16"/>
  <c r="M43" i="16"/>
  <c r="N43" i="16"/>
  <c r="O43" i="16"/>
  <c r="P43" i="16"/>
  <c r="F43" i="16"/>
  <c r="G41" i="16"/>
  <c r="H41" i="16"/>
  <c r="I41" i="16"/>
  <c r="J41" i="16"/>
  <c r="K41" i="16"/>
  <c r="L41" i="16"/>
  <c r="M41" i="16"/>
  <c r="N41" i="16"/>
  <c r="O41" i="16"/>
  <c r="P41" i="16"/>
  <c r="F41" i="16"/>
  <c r="H39" i="16"/>
  <c r="I39" i="16"/>
  <c r="J39" i="16"/>
  <c r="K39" i="16"/>
  <c r="L39" i="16"/>
  <c r="M39" i="16"/>
  <c r="N39" i="16"/>
  <c r="O39" i="16"/>
  <c r="P39" i="16"/>
  <c r="G39" i="16"/>
  <c r="H38" i="16"/>
  <c r="I38" i="16"/>
  <c r="J38" i="16"/>
  <c r="K38" i="16"/>
  <c r="L38" i="16"/>
  <c r="M38" i="16"/>
  <c r="N38" i="16"/>
  <c r="O38" i="16"/>
  <c r="P38" i="16"/>
  <c r="G38" i="16"/>
  <c r="F38" i="16" s="1"/>
  <c r="H37" i="16"/>
  <c r="I37" i="16"/>
  <c r="J37" i="16"/>
  <c r="K37" i="16"/>
  <c r="L37" i="16"/>
  <c r="M37" i="16"/>
  <c r="N37" i="16"/>
  <c r="O37" i="16"/>
  <c r="P37" i="16"/>
  <c r="G37" i="16"/>
  <c r="F37" i="16" s="1"/>
  <c r="H36" i="16"/>
  <c r="I36" i="16"/>
  <c r="J36" i="16"/>
  <c r="K36" i="16"/>
  <c r="L36" i="16"/>
  <c r="M36" i="16"/>
  <c r="N36" i="16"/>
  <c r="O36" i="16"/>
  <c r="P36" i="16"/>
  <c r="G36" i="16"/>
  <c r="F36" i="16" s="1"/>
  <c r="H33" i="16"/>
  <c r="H58" i="16" s="1"/>
  <c r="I33" i="16"/>
  <c r="I58" i="16" s="1"/>
  <c r="J33" i="16"/>
  <c r="J58" i="16" s="1"/>
  <c r="K33" i="16"/>
  <c r="K58" i="16" s="1"/>
  <c r="L33" i="16"/>
  <c r="L58" i="16" s="1"/>
  <c r="M33" i="16"/>
  <c r="M58" i="16" s="1"/>
  <c r="N33" i="16"/>
  <c r="N58" i="16" s="1"/>
  <c r="O33" i="16"/>
  <c r="O58" i="16" s="1"/>
  <c r="P33" i="16"/>
  <c r="P58" i="16" s="1"/>
  <c r="G33" i="16"/>
  <c r="G54" i="16"/>
  <c r="H54" i="16"/>
  <c r="I54" i="16"/>
  <c r="J54" i="16"/>
  <c r="K54" i="16"/>
  <c r="L54" i="16"/>
  <c r="M54" i="16"/>
  <c r="N54" i="16"/>
  <c r="O54" i="16"/>
  <c r="P54" i="16"/>
  <c r="F54" i="16"/>
  <c r="F52" i="16"/>
  <c r="G52" i="16"/>
  <c r="H52" i="16"/>
  <c r="I52" i="16"/>
  <c r="J52" i="16"/>
  <c r="K52" i="16"/>
  <c r="L52" i="16"/>
  <c r="M52" i="16"/>
  <c r="N52" i="16"/>
  <c r="O52" i="16"/>
  <c r="P52" i="16"/>
  <c r="G22" i="16"/>
  <c r="H22" i="16"/>
  <c r="I22" i="16"/>
  <c r="J22" i="16"/>
  <c r="K22" i="16"/>
  <c r="L22" i="16"/>
  <c r="M22" i="16"/>
  <c r="N22" i="16"/>
  <c r="O22" i="16"/>
  <c r="P22" i="16"/>
  <c r="F22" i="16"/>
  <c r="H18" i="16"/>
  <c r="I18" i="16"/>
  <c r="J18" i="16"/>
  <c r="K18" i="16"/>
  <c r="L18" i="16"/>
  <c r="M18" i="16"/>
  <c r="N18" i="16"/>
  <c r="O18" i="16"/>
  <c r="P18" i="16"/>
  <c r="H19" i="16"/>
  <c r="I19" i="16"/>
  <c r="J19" i="16"/>
  <c r="K19" i="16"/>
  <c r="L19" i="16"/>
  <c r="M19" i="16"/>
  <c r="N19" i="16"/>
  <c r="O19" i="16"/>
  <c r="P19" i="16"/>
  <c r="G19" i="16"/>
  <c r="F19" i="16" s="1"/>
  <c r="G18" i="16"/>
  <c r="F18" i="16" s="1"/>
  <c r="H17" i="16"/>
  <c r="I17" i="16"/>
  <c r="J17" i="16"/>
  <c r="K17" i="16"/>
  <c r="L17" i="16"/>
  <c r="M17" i="16"/>
  <c r="N17" i="16"/>
  <c r="O17" i="16"/>
  <c r="P17" i="16"/>
  <c r="G17" i="16"/>
  <c r="L15" i="16"/>
  <c r="M15" i="16"/>
  <c r="N15" i="16"/>
  <c r="O15" i="16"/>
  <c r="P15" i="16"/>
  <c r="K15" i="16"/>
  <c r="L14" i="16"/>
  <c r="M14" i="16"/>
  <c r="N14" i="16"/>
  <c r="O14" i="16"/>
  <c r="P14" i="16"/>
  <c r="K14" i="16"/>
  <c r="L12" i="16"/>
  <c r="M12" i="16"/>
  <c r="N12" i="16"/>
  <c r="O12" i="16"/>
  <c r="P12" i="16"/>
  <c r="K12" i="16"/>
  <c r="L11" i="16"/>
  <c r="M11" i="16"/>
  <c r="N11" i="16"/>
  <c r="O11" i="16"/>
  <c r="P11" i="16"/>
  <c r="K11" i="16"/>
  <c r="L10" i="16"/>
  <c r="M10" i="16"/>
  <c r="N10" i="16"/>
  <c r="O10" i="16"/>
  <c r="P10" i="16"/>
  <c r="K10" i="16"/>
  <c r="P7" i="16"/>
  <c r="O7" i="16"/>
  <c r="N7" i="16"/>
  <c r="M7" i="16"/>
  <c r="L7" i="16"/>
  <c r="K7" i="16"/>
  <c r="J7" i="16"/>
  <c r="I7" i="16"/>
  <c r="G7" i="16"/>
  <c r="F7" i="16"/>
  <c r="P24" i="16" l="1"/>
  <c r="P34" i="16"/>
  <c r="P32" i="16" s="1"/>
  <c r="O24" i="16"/>
  <c r="N13" i="16"/>
  <c r="M13" i="16"/>
  <c r="N19" i="7"/>
  <c r="N59" i="7"/>
  <c r="N59" i="12" s="1"/>
  <c r="N69" i="12" s="1"/>
  <c r="N79" i="12" s="1"/>
  <c r="F19" i="7"/>
  <c r="F19" i="12" s="1"/>
  <c r="F68" i="12" s="1"/>
  <c r="F76" i="12" s="1"/>
  <c r="F30" i="7"/>
  <c r="F30" i="12" s="1"/>
  <c r="F31" i="7"/>
  <c r="F31" i="12" s="1"/>
  <c r="E33" i="6"/>
  <c r="F33" i="6"/>
  <c r="E26" i="16"/>
  <c r="E21" i="6"/>
  <c r="F21" i="6"/>
  <c r="F17" i="16"/>
  <c r="E22" i="6"/>
  <c r="F22" i="6"/>
  <c r="G19" i="7"/>
  <c r="G19" i="12" s="1"/>
  <c r="G68" i="12" s="1"/>
  <c r="G76" i="12" s="1"/>
  <c r="G30" i="7"/>
  <c r="G30" i="12" s="1"/>
  <c r="G31" i="7"/>
  <c r="G31" i="12" s="1"/>
  <c r="H19" i="7"/>
  <c r="H19" i="12" s="1"/>
  <c r="H68" i="12" s="1"/>
  <c r="H76" i="12" s="1"/>
  <c r="H30" i="7"/>
  <c r="H30" i="12" s="1"/>
  <c r="H31" i="7"/>
  <c r="H31" i="12" s="1"/>
  <c r="I19" i="7"/>
  <c r="I19" i="12" s="1"/>
  <c r="I68" i="12" s="1"/>
  <c r="I76" i="12" s="1"/>
  <c r="I31" i="7"/>
  <c r="I31" i="12" s="1"/>
  <c r="J19" i="7"/>
  <c r="J19" i="12" s="1"/>
  <c r="J68" i="12" s="1"/>
  <c r="J76" i="12" s="1"/>
  <c r="J31" i="7"/>
  <c r="J31" i="12" s="1"/>
  <c r="L13" i="16"/>
  <c r="K31" i="7"/>
  <c r="K31" i="12" s="1"/>
  <c r="L30" i="7"/>
  <c r="L30" i="12" s="1"/>
  <c r="L31" i="7"/>
  <c r="L31" i="12" s="1"/>
  <c r="M30" i="7"/>
  <c r="M31" i="7"/>
  <c r="M31" i="12" s="1"/>
  <c r="M71" i="12" s="1"/>
  <c r="M77" i="12" s="1"/>
  <c r="N31" i="7"/>
  <c r="N31" i="12" s="1"/>
  <c r="N32" i="7"/>
  <c r="N32" i="12" s="1"/>
  <c r="N72" i="12" s="1"/>
  <c r="N80" i="12" s="1"/>
  <c r="E15" i="16"/>
  <c r="D15" i="16" s="1"/>
  <c r="C15" i="16" s="1"/>
  <c r="J13" i="16"/>
  <c r="K13" i="16"/>
  <c r="N51" i="7"/>
  <c r="N51" i="12" s="1"/>
  <c r="N70" i="12" s="1"/>
  <c r="N78" i="12" s="1"/>
  <c r="E59" i="7"/>
  <c r="E59" i="12" s="1"/>
  <c r="E69" i="12" s="1"/>
  <c r="E79" i="12" s="1"/>
  <c r="F59" i="7"/>
  <c r="F59" i="12" s="1"/>
  <c r="F69" i="12" s="1"/>
  <c r="F79" i="12" s="1"/>
  <c r="G59" i="7"/>
  <c r="G59" i="12" s="1"/>
  <c r="G69" i="12" s="1"/>
  <c r="G79" i="12" s="1"/>
  <c r="H59" i="7"/>
  <c r="H59" i="12" s="1"/>
  <c r="H69" i="12" s="1"/>
  <c r="H79" i="12" s="1"/>
  <c r="I59" i="7"/>
  <c r="I59" i="12" s="1"/>
  <c r="I69" i="12" s="1"/>
  <c r="I79" i="12" s="1"/>
  <c r="F51" i="7"/>
  <c r="F51" i="12" s="1"/>
  <c r="F70" i="12" s="1"/>
  <c r="F78" i="12" s="1"/>
  <c r="G51" i="7"/>
  <c r="G51" i="12" s="1"/>
  <c r="G70" i="12" s="1"/>
  <c r="G78" i="12" s="1"/>
  <c r="H51" i="7"/>
  <c r="H51" i="12" s="1"/>
  <c r="H70" i="12" s="1"/>
  <c r="H78" i="12" s="1"/>
  <c r="I51" i="7"/>
  <c r="I51" i="12" s="1"/>
  <c r="I70" i="12" s="1"/>
  <c r="I78" i="12" s="1"/>
  <c r="J51" i="7"/>
  <c r="J51" i="12" s="1"/>
  <c r="J70" i="12" s="1"/>
  <c r="J78" i="12" s="1"/>
  <c r="K51" i="7"/>
  <c r="K51" i="12" s="1"/>
  <c r="K70" i="12" s="1"/>
  <c r="K78" i="12" s="1"/>
  <c r="L51" i="7"/>
  <c r="L51" i="12" s="1"/>
  <c r="L70" i="12" s="1"/>
  <c r="L78" i="12" s="1"/>
  <c r="M51" i="7"/>
  <c r="M51" i="12" s="1"/>
  <c r="M70" i="12" s="1"/>
  <c r="M78" i="12" s="1"/>
  <c r="E19" i="7"/>
  <c r="E19" i="12" s="1"/>
  <c r="E68" i="12" s="1"/>
  <c r="E76" i="12" s="1"/>
  <c r="O34" i="16"/>
  <c r="O32" i="16" s="1"/>
  <c r="N54" i="7"/>
  <c r="J14" i="16"/>
  <c r="E46" i="6"/>
  <c r="F46" i="6"/>
  <c r="J10" i="16"/>
  <c r="F12" i="16"/>
  <c r="G12" i="16"/>
  <c r="H12" i="16"/>
  <c r="I12" i="16"/>
  <c r="J12" i="16"/>
  <c r="C12" i="16"/>
  <c r="D12" i="16"/>
  <c r="E12" i="16"/>
  <c r="J48" i="5"/>
  <c r="J45" i="5"/>
  <c r="D43" i="5"/>
  <c r="C43" i="5"/>
  <c r="B43" i="5"/>
  <c r="D46" i="5"/>
  <c r="E48" i="16"/>
  <c r="E54" i="16"/>
  <c r="D54" i="16" s="1"/>
  <c r="C54" i="16" s="1"/>
  <c r="B54" i="4"/>
  <c r="F70" i="4"/>
  <c r="J35" i="4"/>
  <c r="I35" i="4"/>
  <c r="H35" i="4"/>
  <c r="G35" i="4"/>
  <c r="F35" i="4"/>
  <c r="E35" i="4"/>
  <c r="D35" i="4"/>
  <c r="C35" i="4"/>
  <c r="B35" i="4"/>
  <c r="F41" i="4"/>
  <c r="E71" i="4"/>
  <c r="F71" i="4"/>
  <c r="G71" i="4"/>
  <c r="H71" i="4"/>
  <c r="I71" i="4"/>
  <c r="I72" i="4"/>
  <c r="D71" i="4"/>
  <c r="I73" i="4"/>
  <c r="C71" i="4"/>
  <c r="B71" i="4"/>
  <c r="I74" i="4"/>
  <c r="K11" i="5"/>
  <c r="K10" i="5"/>
  <c r="K9" i="5"/>
  <c r="K2" i="5"/>
  <c r="O53" i="5"/>
  <c r="O48" i="5"/>
  <c r="J58" i="5"/>
  <c r="I58" i="5"/>
  <c r="H58" i="5"/>
  <c r="G58" i="5"/>
  <c r="F58" i="5"/>
  <c r="F7" i="5"/>
  <c r="E7" i="5"/>
  <c r="D7" i="5"/>
  <c r="C7" i="5"/>
  <c r="B7" i="5"/>
  <c r="F12" i="5"/>
  <c r="F13" i="5"/>
  <c r="F14" i="5"/>
  <c r="E14" i="5"/>
  <c r="D14" i="5"/>
  <c r="C14" i="5"/>
  <c r="B14" i="5"/>
  <c r="J9" i="5"/>
  <c r="I9" i="5"/>
  <c r="F11" i="5"/>
  <c r="F16" i="5"/>
  <c r="E16" i="5"/>
  <c r="D16" i="5"/>
  <c r="C16" i="5"/>
  <c r="B16" i="5"/>
  <c r="F19" i="5"/>
  <c r="F20" i="5"/>
  <c r="E20" i="5"/>
  <c r="D20" i="5"/>
  <c r="C20" i="5"/>
  <c r="B20" i="5"/>
  <c r="F21" i="5"/>
  <c r="F22" i="5"/>
  <c r="F30" i="5"/>
  <c r="F33" i="5"/>
  <c r="F34" i="5"/>
  <c r="F31" i="5"/>
  <c r="F36" i="5"/>
  <c r="F38" i="5"/>
  <c r="E38" i="5"/>
  <c r="D38" i="5"/>
  <c r="C38" i="5"/>
  <c r="B38" i="5"/>
  <c r="F48" i="5"/>
  <c r="E48" i="5"/>
  <c r="D48" i="5"/>
  <c r="C48" i="5"/>
  <c r="B48" i="5"/>
  <c r="F50" i="5"/>
  <c r="F51" i="5"/>
  <c r="F52" i="5"/>
  <c r="F53" i="5"/>
  <c r="E52" i="5"/>
  <c r="E51" i="5"/>
  <c r="E50" i="5"/>
  <c r="E53" i="5"/>
  <c r="I48" i="5"/>
  <c r="H48" i="5"/>
  <c r="G48" i="5"/>
  <c r="O38" i="5"/>
  <c r="O36" i="5"/>
  <c r="O35" i="5"/>
  <c r="J38" i="5"/>
  <c r="I38" i="5"/>
  <c r="H38" i="5"/>
  <c r="G38" i="5"/>
  <c r="J36" i="5"/>
  <c r="I36" i="5"/>
  <c r="H36" i="5"/>
  <c r="G36" i="5"/>
  <c r="J34" i="5"/>
  <c r="I34" i="5"/>
  <c r="H34" i="5"/>
  <c r="G34" i="5"/>
  <c r="J33" i="5"/>
  <c r="J31" i="5"/>
  <c r="I33" i="5"/>
  <c r="H33" i="5"/>
  <c r="G33" i="5"/>
  <c r="J30" i="5"/>
  <c r="I30" i="5"/>
  <c r="H30" i="5"/>
  <c r="H31" i="5"/>
  <c r="H35" i="5"/>
  <c r="G30" i="5"/>
  <c r="J22" i="5"/>
  <c r="I22" i="5"/>
  <c r="H22" i="5"/>
  <c r="G22" i="5"/>
  <c r="J21" i="5"/>
  <c r="I21" i="5"/>
  <c r="H21" i="5"/>
  <c r="G21" i="5"/>
  <c r="J20" i="5"/>
  <c r="I20" i="5"/>
  <c r="H20" i="5"/>
  <c r="G20" i="5"/>
  <c r="J19" i="5"/>
  <c r="I19" i="5"/>
  <c r="H19" i="5"/>
  <c r="H23" i="5"/>
  <c r="G19" i="5"/>
  <c r="G23" i="5"/>
  <c r="J16" i="5"/>
  <c r="I16" i="5"/>
  <c r="H16" i="5"/>
  <c r="G16" i="5"/>
  <c r="J14" i="5"/>
  <c r="I14" i="5"/>
  <c r="H14" i="5"/>
  <c r="G14" i="5"/>
  <c r="K13" i="5"/>
  <c r="J13" i="5"/>
  <c r="I13" i="5"/>
  <c r="H13" i="5"/>
  <c r="G13" i="5"/>
  <c r="J7" i="5"/>
  <c r="I7" i="5"/>
  <c r="H7" i="5"/>
  <c r="G7" i="5"/>
  <c r="J11" i="5"/>
  <c r="I11" i="5"/>
  <c r="H11" i="5"/>
  <c r="G11" i="5"/>
  <c r="J52" i="5"/>
  <c r="I52" i="5"/>
  <c r="H52" i="5"/>
  <c r="G52" i="5"/>
  <c r="J51" i="5"/>
  <c r="I51" i="5"/>
  <c r="H51" i="5"/>
  <c r="G51" i="5"/>
  <c r="J50" i="5"/>
  <c r="I50" i="5"/>
  <c r="I53" i="5"/>
  <c r="H50" i="5"/>
  <c r="G50" i="5"/>
  <c r="G53" i="5"/>
  <c r="K12" i="5"/>
  <c r="J12" i="5"/>
  <c r="I12" i="5"/>
  <c r="H12" i="5"/>
  <c r="G12" i="5"/>
  <c r="C50" i="5"/>
  <c r="D53" i="5"/>
  <c r="C53" i="5"/>
  <c r="B50" i="5"/>
  <c r="B53" i="5"/>
  <c r="E30" i="5"/>
  <c r="D30" i="5"/>
  <c r="E11" i="5"/>
  <c r="E36" i="5"/>
  <c r="D36" i="5"/>
  <c r="C36" i="5"/>
  <c r="B36" i="5"/>
  <c r="E58" i="5"/>
  <c r="D58" i="5"/>
  <c r="C58" i="5"/>
  <c r="B58" i="5"/>
  <c r="D11" i="5"/>
  <c r="C11" i="5"/>
  <c r="B11" i="5"/>
  <c r="G31" i="5"/>
  <c r="G35" i="5"/>
  <c r="H53" i="5"/>
  <c r="I31" i="5"/>
  <c r="I35" i="5"/>
  <c r="J53" i="5"/>
  <c r="I23" i="5"/>
  <c r="J62" i="5"/>
  <c r="M17" i="6"/>
  <c r="M17" i="7"/>
  <c r="L17" i="6"/>
  <c r="K17" i="6"/>
  <c r="J17" i="6"/>
  <c r="I17" i="6"/>
  <c r="I17" i="7"/>
  <c r="I17" i="12"/>
  <c r="H17" i="6"/>
  <c r="H17" i="7"/>
  <c r="H17" i="12"/>
  <c r="G17" i="6"/>
  <c r="G17" i="7"/>
  <c r="G17" i="12"/>
  <c r="F17" i="6"/>
  <c r="E17" i="6"/>
  <c r="E17" i="7"/>
  <c r="E17" i="12"/>
  <c r="M16" i="6"/>
  <c r="L16" i="6"/>
  <c r="K16" i="6"/>
  <c r="J16" i="6"/>
  <c r="I16" i="6"/>
  <c r="I16" i="7"/>
  <c r="I16" i="12"/>
  <c r="H16" i="6"/>
  <c r="G16" i="6"/>
  <c r="G16" i="7"/>
  <c r="G16" i="12"/>
  <c r="F16" i="6"/>
  <c r="F16" i="7"/>
  <c r="F16" i="12"/>
  <c r="E16" i="6"/>
  <c r="E16" i="7"/>
  <c r="E16" i="12"/>
  <c r="M13" i="6"/>
  <c r="L13" i="6"/>
  <c r="K13" i="6"/>
  <c r="J13" i="6"/>
  <c r="J14" i="6"/>
  <c r="J15" i="6"/>
  <c r="J18" i="6"/>
  <c r="J19" i="6"/>
  <c r="I13" i="6"/>
  <c r="M15" i="6"/>
  <c r="L15" i="6"/>
  <c r="K15" i="6"/>
  <c r="M14" i="6"/>
  <c r="L14" i="6"/>
  <c r="L18" i="6"/>
  <c r="L19" i="6"/>
  <c r="K14" i="6"/>
  <c r="K3" i="6"/>
  <c r="M58" i="6"/>
  <c r="M58" i="7"/>
  <c r="M58" i="12"/>
  <c r="L58" i="6"/>
  <c r="K58" i="6"/>
  <c r="K58" i="7"/>
  <c r="K58" i="12"/>
  <c r="J58" i="6"/>
  <c r="M57" i="6"/>
  <c r="M57" i="7"/>
  <c r="M57" i="12"/>
  <c r="L57" i="6"/>
  <c r="K57" i="6"/>
  <c r="J57" i="6"/>
  <c r="E45" i="6"/>
  <c r="E45" i="7"/>
  <c r="E45" i="12"/>
  <c r="E40" i="6"/>
  <c r="E32" i="6"/>
  <c r="M56" i="6"/>
  <c r="M56" i="7"/>
  <c r="M56" i="12"/>
  <c r="L56" i="6"/>
  <c r="K56" i="6"/>
  <c r="J56" i="6"/>
  <c r="M55" i="6"/>
  <c r="M55" i="7"/>
  <c r="M55" i="12"/>
  <c r="L55" i="6"/>
  <c r="K55" i="6"/>
  <c r="K55" i="7"/>
  <c r="K55" i="12"/>
  <c r="J55" i="6"/>
  <c r="M54" i="6"/>
  <c r="M54" i="7"/>
  <c r="M54" i="12"/>
  <c r="L54" i="6"/>
  <c r="K54" i="6"/>
  <c r="J54" i="6"/>
  <c r="E23" i="6"/>
  <c r="M23" i="6"/>
  <c r="L23" i="6"/>
  <c r="K23" i="6"/>
  <c r="J23" i="6"/>
  <c r="J21" i="6"/>
  <c r="J22" i="6"/>
  <c r="J24" i="6"/>
  <c r="I23" i="6"/>
  <c r="H23" i="6"/>
  <c r="G23" i="6"/>
  <c r="F23" i="6"/>
  <c r="M22" i="6"/>
  <c r="L22" i="6"/>
  <c r="K22" i="6"/>
  <c r="K21" i="6"/>
  <c r="K24" i="6"/>
  <c r="I22" i="6"/>
  <c r="I21" i="6"/>
  <c r="I24" i="6"/>
  <c r="H22" i="6"/>
  <c r="G22" i="6"/>
  <c r="G21" i="6"/>
  <c r="G24" i="6"/>
  <c r="M21" i="6"/>
  <c r="L21" i="6"/>
  <c r="L24" i="6"/>
  <c r="H21" i="6"/>
  <c r="H24" i="6"/>
  <c r="M64" i="6"/>
  <c r="L64" i="6"/>
  <c r="L64" i="7"/>
  <c r="L64" i="12"/>
  <c r="K64" i="6"/>
  <c r="J64" i="6"/>
  <c r="I64" i="6"/>
  <c r="H64" i="6"/>
  <c r="H64" i="7"/>
  <c r="H64" i="12"/>
  <c r="G64" i="6"/>
  <c r="F64" i="6"/>
  <c r="F64" i="7"/>
  <c r="E64" i="6"/>
  <c r="I59" i="6"/>
  <c r="H59" i="6"/>
  <c r="G59" i="6"/>
  <c r="F59" i="6"/>
  <c r="E59" i="6"/>
  <c r="D59" i="6"/>
  <c r="C59" i="6"/>
  <c r="B59" i="6"/>
  <c r="I51" i="6"/>
  <c r="H51" i="6"/>
  <c r="G51" i="6"/>
  <c r="F51" i="6"/>
  <c r="E51" i="6"/>
  <c r="I49" i="6"/>
  <c r="H49" i="6"/>
  <c r="G49" i="6"/>
  <c r="G49" i="7"/>
  <c r="G49" i="12"/>
  <c r="F49" i="6"/>
  <c r="E49" i="6"/>
  <c r="I46" i="6"/>
  <c r="H46" i="6"/>
  <c r="H46" i="7"/>
  <c r="H46" i="12"/>
  <c r="G46" i="6"/>
  <c r="I45" i="6"/>
  <c r="H45" i="6"/>
  <c r="G45" i="6"/>
  <c r="F45" i="6"/>
  <c r="F43" i="6"/>
  <c r="I40" i="6"/>
  <c r="H40" i="6"/>
  <c r="G40" i="6"/>
  <c r="F40" i="6"/>
  <c r="I33" i="6"/>
  <c r="H33" i="6"/>
  <c r="G33" i="6"/>
  <c r="F33" i="7"/>
  <c r="F33" i="12"/>
  <c r="I32" i="6"/>
  <c r="H32" i="6"/>
  <c r="G32" i="6"/>
  <c r="F32" i="6"/>
  <c r="I31" i="6"/>
  <c r="H31" i="6"/>
  <c r="G31" i="6"/>
  <c r="F31" i="6"/>
  <c r="E31" i="6"/>
  <c r="I30" i="6"/>
  <c r="H30" i="6"/>
  <c r="G30" i="6"/>
  <c r="F30" i="6"/>
  <c r="E30" i="6"/>
  <c r="I26" i="6"/>
  <c r="H26" i="6"/>
  <c r="G26" i="6"/>
  <c r="G26" i="7"/>
  <c r="F26" i="6"/>
  <c r="E26" i="6"/>
  <c r="I18" i="6"/>
  <c r="H18" i="6"/>
  <c r="H18" i="7"/>
  <c r="H18" i="12"/>
  <c r="G18" i="6"/>
  <c r="G18" i="7"/>
  <c r="G18" i="12"/>
  <c r="F18" i="6"/>
  <c r="F18" i="7"/>
  <c r="F18" i="12"/>
  <c r="E18" i="6"/>
  <c r="D18" i="6"/>
  <c r="I14" i="6"/>
  <c r="I9" i="6"/>
  <c r="H9" i="6"/>
  <c r="H9" i="7"/>
  <c r="G9" i="6"/>
  <c r="F9" i="6"/>
  <c r="F9" i="7"/>
  <c r="E9" i="6"/>
  <c r="D9" i="6"/>
  <c r="D9" i="7"/>
  <c r="I15" i="6"/>
  <c r="I19" i="6"/>
  <c r="H15" i="6"/>
  <c r="G15" i="6"/>
  <c r="G15" i="7"/>
  <c r="G15" i="12"/>
  <c r="F15" i="6"/>
  <c r="E15" i="6"/>
  <c r="E15" i="7"/>
  <c r="E15" i="12"/>
  <c r="M59" i="6"/>
  <c r="L59" i="6"/>
  <c r="K59" i="6"/>
  <c r="J59" i="6"/>
  <c r="M51" i="6"/>
  <c r="L51" i="6"/>
  <c r="K51" i="6"/>
  <c r="J51" i="6"/>
  <c r="M49" i="6"/>
  <c r="M49" i="7"/>
  <c r="M49" i="12"/>
  <c r="L49" i="6"/>
  <c r="K49" i="6"/>
  <c r="J49" i="6"/>
  <c r="M46" i="6"/>
  <c r="M46" i="7"/>
  <c r="M46" i="12"/>
  <c r="L46" i="6"/>
  <c r="K46" i="6"/>
  <c r="J46" i="6"/>
  <c r="M45" i="6"/>
  <c r="M43" i="6"/>
  <c r="M43" i="7"/>
  <c r="L45" i="6"/>
  <c r="K45" i="6"/>
  <c r="K43" i="6"/>
  <c r="J45" i="6"/>
  <c r="M40" i="6"/>
  <c r="L40" i="6"/>
  <c r="K40" i="6"/>
  <c r="J40" i="6"/>
  <c r="M33" i="6"/>
  <c r="M33" i="7"/>
  <c r="M33" i="12"/>
  <c r="L33" i="6"/>
  <c r="K33" i="6"/>
  <c r="J33" i="6"/>
  <c r="M32" i="6"/>
  <c r="L32" i="6"/>
  <c r="K32" i="6"/>
  <c r="J32" i="6"/>
  <c r="M31" i="6"/>
  <c r="L31" i="6"/>
  <c r="K31" i="6"/>
  <c r="J31" i="6"/>
  <c r="M30" i="6"/>
  <c r="L30" i="6"/>
  <c r="K30" i="6"/>
  <c r="K34" i="6"/>
  <c r="J30" i="6"/>
  <c r="M26" i="6"/>
  <c r="M26" i="7"/>
  <c r="M26" i="12"/>
  <c r="L26" i="6"/>
  <c r="K26" i="6"/>
  <c r="K26" i="7"/>
  <c r="K26" i="12"/>
  <c r="J26" i="6"/>
  <c r="M18" i="6"/>
  <c r="K18" i="6"/>
  <c r="M9" i="6"/>
  <c r="L9" i="6"/>
  <c r="K9" i="6"/>
  <c r="J9" i="6"/>
  <c r="D64" i="6"/>
  <c r="C64" i="6"/>
  <c r="C15" i="6"/>
  <c r="C15" i="7"/>
  <c r="C15" i="12"/>
  <c r="D30" i="6"/>
  <c r="C30" i="6"/>
  <c r="B30" i="6"/>
  <c r="D31" i="6"/>
  <c r="D26" i="6"/>
  <c r="C26" i="6"/>
  <c r="D15" i="6"/>
  <c r="G34" i="6"/>
  <c r="J34" i="6"/>
  <c r="K19" i="6"/>
  <c r="K36" i="6"/>
  <c r="L34" i="6"/>
  <c r="M24" i="6"/>
  <c r="B15" i="6"/>
  <c r="B15" i="7"/>
  <c r="B15" i="12"/>
  <c r="L43" i="6"/>
  <c r="G43" i="6"/>
  <c r="D49" i="6"/>
  <c r="D49" i="7"/>
  <c r="D49" i="12"/>
  <c r="D51" i="6"/>
  <c r="C51" i="6"/>
  <c r="B51" i="6"/>
  <c r="I43" i="6"/>
  <c r="I47" i="6"/>
  <c r="J43" i="6"/>
  <c r="J47" i="6"/>
  <c r="D56" i="6"/>
  <c r="D56" i="7"/>
  <c r="D56" i="12"/>
  <c r="E64" i="7"/>
  <c r="E64" i="12"/>
  <c r="G64" i="7"/>
  <c r="G64" i="12"/>
  <c r="I64" i="7"/>
  <c r="I64" i="12"/>
  <c r="J64" i="7"/>
  <c r="P64" i="7"/>
  <c r="K64" i="7"/>
  <c r="K64" i="12"/>
  <c r="M64" i="7"/>
  <c r="L58" i="7"/>
  <c r="L58" i="12"/>
  <c r="J58" i="7"/>
  <c r="J58" i="12"/>
  <c r="L57" i="7"/>
  <c r="K57" i="7"/>
  <c r="K57" i="12"/>
  <c r="J57" i="7"/>
  <c r="J57" i="12"/>
  <c r="L56" i="7"/>
  <c r="K56" i="7"/>
  <c r="J56" i="7"/>
  <c r="J56" i="12"/>
  <c r="L55" i="7"/>
  <c r="L55" i="12"/>
  <c r="J55" i="7"/>
  <c r="L54" i="7"/>
  <c r="K54" i="7"/>
  <c r="K54" i="12"/>
  <c r="J54" i="7"/>
  <c r="J54" i="12"/>
  <c r="E49" i="7"/>
  <c r="E49" i="12"/>
  <c r="F49" i="7"/>
  <c r="F49" i="12"/>
  <c r="H49" i="7"/>
  <c r="I49" i="7"/>
  <c r="I49" i="12"/>
  <c r="J49" i="7"/>
  <c r="K49" i="7"/>
  <c r="K49" i="12"/>
  <c r="L49" i="7"/>
  <c r="G45" i="7"/>
  <c r="G45" i="12"/>
  <c r="I45" i="7"/>
  <c r="J45" i="7"/>
  <c r="J45" i="12"/>
  <c r="K45" i="7"/>
  <c r="K45" i="12"/>
  <c r="L45" i="7"/>
  <c r="L45" i="12"/>
  <c r="F46" i="7"/>
  <c r="F46" i="12"/>
  <c r="G46" i="7"/>
  <c r="I46" i="7"/>
  <c r="J46" i="7"/>
  <c r="J46" i="12"/>
  <c r="K46" i="7"/>
  <c r="K46" i="12"/>
  <c r="L46" i="7"/>
  <c r="E46" i="7"/>
  <c r="E46" i="12"/>
  <c r="J43" i="7"/>
  <c r="J43" i="12"/>
  <c r="I43" i="7"/>
  <c r="L33" i="7"/>
  <c r="L33" i="12"/>
  <c r="K33" i="7"/>
  <c r="K33" i="12"/>
  <c r="J33" i="7"/>
  <c r="J33" i="12"/>
  <c r="I33" i="7"/>
  <c r="G33" i="7"/>
  <c r="G33" i="12"/>
  <c r="E33" i="7"/>
  <c r="D26" i="7"/>
  <c r="D26" i="12"/>
  <c r="E26" i="7"/>
  <c r="E26" i="12"/>
  <c r="F26" i="7"/>
  <c r="H26" i="7"/>
  <c r="H26" i="12"/>
  <c r="I26" i="7"/>
  <c r="I26" i="12"/>
  <c r="J26" i="7"/>
  <c r="L26" i="7"/>
  <c r="M23" i="7"/>
  <c r="L23" i="7"/>
  <c r="L23" i="12"/>
  <c r="K23" i="7"/>
  <c r="J23" i="7"/>
  <c r="I23" i="7"/>
  <c r="H23" i="7"/>
  <c r="G23" i="7"/>
  <c r="F23" i="7"/>
  <c r="E23" i="7"/>
  <c r="M22" i="7"/>
  <c r="M22" i="12"/>
  <c r="L22" i="7"/>
  <c r="K22" i="7"/>
  <c r="J22" i="7"/>
  <c r="I22" i="7"/>
  <c r="H22" i="7"/>
  <c r="G22" i="7"/>
  <c r="F22" i="7"/>
  <c r="E22" i="7"/>
  <c r="E21" i="7"/>
  <c r="E24" i="7"/>
  <c r="M21" i="7"/>
  <c r="L21" i="7"/>
  <c r="K21" i="7"/>
  <c r="J21" i="7"/>
  <c r="I21" i="7"/>
  <c r="H21" i="7"/>
  <c r="H24" i="7"/>
  <c r="G21" i="7"/>
  <c r="F21" i="7"/>
  <c r="F24" i="7"/>
  <c r="M18" i="7"/>
  <c r="M18" i="12"/>
  <c r="L18" i="7"/>
  <c r="L18" i="12"/>
  <c r="K18" i="7"/>
  <c r="J18" i="7"/>
  <c r="I18" i="7"/>
  <c r="I18" i="12"/>
  <c r="E18" i="7"/>
  <c r="E18" i="12"/>
  <c r="L17" i="7"/>
  <c r="K17" i="7"/>
  <c r="K17" i="12"/>
  <c r="J17" i="7"/>
  <c r="J17" i="12"/>
  <c r="F17" i="7"/>
  <c r="F17" i="12"/>
  <c r="M16" i="7"/>
  <c r="M16" i="12"/>
  <c r="L16" i="7"/>
  <c r="L16" i="12"/>
  <c r="K16" i="7"/>
  <c r="J16" i="7"/>
  <c r="H16" i="7"/>
  <c r="H16" i="12"/>
  <c r="M15" i="7"/>
  <c r="M15" i="12"/>
  <c r="K15" i="7"/>
  <c r="K15" i="12"/>
  <c r="J15" i="7"/>
  <c r="J15" i="12"/>
  <c r="H15" i="7"/>
  <c r="H15" i="12"/>
  <c r="F15" i="7"/>
  <c r="F15" i="12"/>
  <c r="D15" i="7"/>
  <c r="D15" i="12"/>
  <c r="M14" i="7"/>
  <c r="M14" i="12"/>
  <c r="L14" i="7"/>
  <c r="L14" i="12"/>
  <c r="K14" i="7"/>
  <c r="K14" i="12"/>
  <c r="J14" i="7"/>
  <c r="J14" i="12"/>
  <c r="I14" i="7"/>
  <c r="I14" i="12"/>
  <c r="M13" i="7"/>
  <c r="L13" i="7"/>
  <c r="L13" i="12"/>
  <c r="K13" i="7"/>
  <c r="K13" i="12"/>
  <c r="J13" i="7"/>
  <c r="J13" i="12"/>
  <c r="I13" i="7"/>
  <c r="E9" i="7"/>
  <c r="G9" i="7"/>
  <c r="I9" i="7"/>
  <c r="J9" i="7"/>
  <c r="K9" i="7"/>
  <c r="M9" i="7"/>
  <c r="G24" i="7"/>
  <c r="I24" i="7"/>
  <c r="K24" i="7"/>
  <c r="M24" i="7"/>
  <c r="F64" i="12"/>
  <c r="L57" i="12"/>
  <c r="L56" i="12"/>
  <c r="K56" i="12"/>
  <c r="J55" i="12"/>
  <c r="L54" i="12"/>
  <c r="L49" i="12"/>
  <c r="J49" i="12"/>
  <c r="H49" i="12"/>
  <c r="L46" i="12"/>
  <c r="I46" i="12"/>
  <c r="G46" i="12"/>
  <c r="I45" i="12"/>
  <c r="M43" i="12"/>
  <c r="I43" i="12"/>
  <c r="I33" i="12"/>
  <c r="E33" i="12"/>
  <c r="L26" i="12"/>
  <c r="J26" i="12"/>
  <c r="F26" i="12"/>
  <c r="M23" i="12"/>
  <c r="K23" i="12"/>
  <c r="J23" i="12"/>
  <c r="I23" i="12"/>
  <c r="H23" i="12"/>
  <c r="G23" i="12"/>
  <c r="F23" i="12"/>
  <c r="E23" i="12"/>
  <c r="L22" i="12"/>
  <c r="K22" i="12"/>
  <c r="J22" i="12"/>
  <c r="I22" i="12"/>
  <c r="H22" i="12"/>
  <c r="G22" i="12"/>
  <c r="F22" i="12"/>
  <c r="M21" i="12"/>
  <c r="L21" i="12"/>
  <c r="K21" i="12"/>
  <c r="I21" i="12"/>
  <c r="G21" i="12"/>
  <c r="E21" i="12"/>
  <c r="I13" i="12"/>
  <c r="M13" i="12"/>
  <c r="J16" i="12"/>
  <c r="K16" i="12"/>
  <c r="L17" i="12"/>
  <c r="M17" i="12"/>
  <c r="J18" i="12"/>
  <c r="K18" i="12"/>
  <c r="I9" i="12"/>
  <c r="H9" i="12"/>
  <c r="G9" i="12"/>
  <c r="F9" i="12"/>
  <c r="E9" i="12"/>
  <c r="M9" i="12"/>
  <c r="L9" i="12"/>
  <c r="K9" i="12"/>
  <c r="J9" i="12"/>
  <c r="C49" i="6"/>
  <c r="B49" i="6"/>
  <c r="B49" i="7"/>
  <c r="B49" i="12"/>
  <c r="D32" i="6"/>
  <c r="D40" i="6"/>
  <c r="C40" i="6"/>
  <c r="B40" i="6"/>
  <c r="E43" i="6"/>
  <c r="J3" i="6"/>
  <c r="J40" i="5"/>
  <c r="E47" i="6"/>
  <c r="C56" i="6"/>
  <c r="C56" i="7"/>
  <c r="C56" i="12"/>
  <c r="H14" i="6"/>
  <c r="H14" i="7"/>
  <c r="H14" i="12"/>
  <c r="C9" i="6"/>
  <c r="C9" i="7"/>
  <c r="C9" i="12"/>
  <c r="E31" i="5"/>
  <c r="D31" i="5"/>
  <c r="F35" i="5"/>
  <c r="J10" i="5"/>
  <c r="J15" i="5"/>
  <c r="D9" i="12"/>
  <c r="C30" i="5"/>
  <c r="B30" i="5"/>
  <c r="E35" i="5"/>
  <c r="I32" i="7"/>
  <c r="I32" i="12" s="1"/>
  <c r="J24" i="16"/>
  <c r="G32" i="7"/>
  <c r="G32" i="12" s="1"/>
  <c r="G72" i="12" s="1"/>
  <c r="G80" i="12" s="1"/>
  <c r="H24" i="16"/>
  <c r="L32" i="7"/>
  <c r="L32" i="12" s="1"/>
  <c r="M24" i="16"/>
  <c r="M32" i="7"/>
  <c r="M32" i="12" s="1"/>
  <c r="N24" i="16"/>
  <c r="K32" i="7"/>
  <c r="K32" i="12" s="1"/>
  <c r="K72" i="12" s="1"/>
  <c r="K80" i="12" s="1"/>
  <c r="L24" i="16"/>
  <c r="J32" i="7"/>
  <c r="J32" i="12" s="1"/>
  <c r="J72" i="12" s="1"/>
  <c r="J80" i="12" s="1"/>
  <c r="K24" i="16"/>
  <c r="H32" i="7"/>
  <c r="H32" i="12" s="1"/>
  <c r="I24" i="16"/>
  <c r="G24" i="16"/>
  <c r="G28" i="16" s="1"/>
  <c r="E22" i="16"/>
  <c r="D22" i="16" s="1"/>
  <c r="C22" i="16" s="1"/>
  <c r="I15" i="7"/>
  <c r="I15" i="12"/>
  <c r="G24" i="12"/>
  <c r="I3" i="6"/>
  <c r="B9" i="6"/>
  <c r="B9" i="7"/>
  <c r="B9" i="12"/>
  <c r="E7" i="16"/>
  <c r="D7" i="16" s="1"/>
  <c r="J40" i="7"/>
  <c r="J40" i="12" s="1"/>
  <c r="F40" i="7"/>
  <c r="F40" i="12" s="1"/>
  <c r="I40" i="7"/>
  <c r="I40" i="12" s="1"/>
  <c r="K40" i="7"/>
  <c r="K47" i="7" s="1"/>
  <c r="K40" i="12"/>
  <c r="K73" i="12" s="1"/>
  <c r="K81" i="12" s="1"/>
  <c r="M40" i="7"/>
  <c r="M47" i="7" s="1"/>
  <c r="L40" i="7"/>
  <c r="L40" i="12" s="1"/>
  <c r="L73" i="12" s="1"/>
  <c r="L81" i="12" s="1"/>
  <c r="H40" i="7"/>
  <c r="H40" i="12" s="1"/>
  <c r="H73" i="12" s="1"/>
  <c r="H81" i="12" s="1"/>
  <c r="N40" i="7"/>
  <c r="N40" i="12" s="1"/>
  <c r="N73" i="12" s="1"/>
  <c r="N81" i="12" s="1"/>
  <c r="M34" i="16"/>
  <c r="M32" i="16" s="1"/>
  <c r="N34" i="16"/>
  <c r="N32" i="16"/>
  <c r="M19" i="7"/>
  <c r="K59" i="7"/>
  <c r="K59" i="12" s="1"/>
  <c r="K69" i="12" s="1"/>
  <c r="K79" i="12" s="1"/>
  <c r="J59" i="7"/>
  <c r="J59" i="12" s="1"/>
  <c r="J69" i="12" s="1"/>
  <c r="J79" i="12" s="1"/>
  <c r="K34" i="16"/>
  <c r="K32" i="16" s="1"/>
  <c r="I53" i="16"/>
  <c r="K19" i="7"/>
  <c r="F33" i="16"/>
  <c r="F58" i="16" s="1"/>
  <c r="I34" i="16"/>
  <c r="I32" i="16" s="1"/>
  <c r="J53" i="16"/>
  <c r="L34" i="16"/>
  <c r="L32" i="16" s="1"/>
  <c r="M59" i="7"/>
  <c r="M59" i="12" s="1"/>
  <c r="M69" i="12" s="1"/>
  <c r="M79" i="12" s="1"/>
  <c r="G40" i="7"/>
  <c r="G40" i="12" s="1"/>
  <c r="J30" i="7"/>
  <c r="J30" i="12" s="1"/>
  <c r="E45" i="16"/>
  <c r="D59" i="7" s="1"/>
  <c r="J34" i="16"/>
  <c r="J32" i="16" s="1"/>
  <c r="H34" i="16"/>
  <c r="H32" i="16" s="1"/>
  <c r="F32" i="7"/>
  <c r="F32" i="12" s="1"/>
  <c r="L59" i="7"/>
  <c r="L59" i="12" s="1"/>
  <c r="L69" i="12" s="1"/>
  <c r="L79" i="12" s="1"/>
  <c r="C26" i="7"/>
  <c r="C26" i="12"/>
  <c r="B26" i="6"/>
  <c r="B26" i="7"/>
  <c r="B26" i="12"/>
  <c r="J46" i="5"/>
  <c r="I46" i="5"/>
  <c r="H46" i="5"/>
  <c r="G46" i="5"/>
  <c r="F46" i="5"/>
  <c r="J41" i="5"/>
  <c r="I41" i="5"/>
  <c r="H41" i="5"/>
  <c r="G41" i="5"/>
  <c r="F41" i="5"/>
  <c r="E41" i="5"/>
  <c r="D41" i="5"/>
  <c r="C41" i="5"/>
  <c r="B41" i="5"/>
  <c r="H13" i="6"/>
  <c r="J64" i="12"/>
  <c r="P64" i="12"/>
  <c r="C31" i="5"/>
  <c r="B31" i="5"/>
  <c r="F32" i="5"/>
  <c r="D35" i="5"/>
  <c r="J2" i="5"/>
  <c r="I10" i="5"/>
  <c r="H10" i="5"/>
  <c r="G10" i="5"/>
  <c r="F10" i="5"/>
  <c r="E10" i="5"/>
  <c r="D10" i="5"/>
  <c r="C10" i="5"/>
  <c r="B10" i="5"/>
  <c r="H9" i="5"/>
  <c r="G9" i="5"/>
  <c r="C64" i="7"/>
  <c r="C64" i="12"/>
  <c r="B64" i="6"/>
  <c r="B64" i="7"/>
  <c r="E41" i="16"/>
  <c r="D41" i="16" s="1"/>
  <c r="C41" i="16" s="1"/>
  <c r="C49" i="7"/>
  <c r="C49" i="12"/>
  <c r="I24" i="12"/>
  <c r="M24" i="12"/>
  <c r="D64" i="7"/>
  <c r="D64" i="12"/>
  <c r="F14" i="16"/>
  <c r="E14" i="16" s="1"/>
  <c r="D14" i="16" s="1"/>
  <c r="C14" i="16" s="1"/>
  <c r="E21" i="5"/>
  <c r="D21" i="5"/>
  <c r="C21" i="5"/>
  <c r="B21" i="5"/>
  <c r="I30" i="7"/>
  <c r="I30" i="12" s="1"/>
  <c r="I34" i="6"/>
  <c r="I36" i="6"/>
  <c r="I75" i="6"/>
  <c r="N30" i="7"/>
  <c r="C32" i="6"/>
  <c r="B32" i="6"/>
  <c r="D33" i="6"/>
  <c r="D34" i="6"/>
  <c r="I40" i="5"/>
  <c r="M30" i="12"/>
  <c r="C31" i="6"/>
  <c r="K47" i="6"/>
  <c r="K62" i="6"/>
  <c r="K63" i="6"/>
  <c r="K43" i="7"/>
  <c r="K43" i="12"/>
  <c r="G26" i="12"/>
  <c r="F39" i="16"/>
  <c r="E39" i="16" s="1"/>
  <c r="E34" i="6"/>
  <c r="H43" i="6"/>
  <c r="H47" i="6"/>
  <c r="I62" i="6"/>
  <c r="I63" i="6"/>
  <c r="G14" i="6"/>
  <c r="E22" i="12"/>
  <c r="E24" i="12"/>
  <c r="L24" i="7"/>
  <c r="G47" i="6"/>
  <c r="G43" i="7"/>
  <c r="G43" i="12"/>
  <c r="L36" i="6"/>
  <c r="L9" i="7"/>
  <c r="I10" i="16"/>
  <c r="H10" i="16" s="1"/>
  <c r="G10" i="16" s="1"/>
  <c r="J11" i="16"/>
  <c r="J49" i="16"/>
  <c r="I45" i="5"/>
  <c r="I57" i="6"/>
  <c r="I57" i="7"/>
  <c r="I57" i="12"/>
  <c r="F21" i="12"/>
  <c r="F24" i="12"/>
  <c r="L47" i="6"/>
  <c r="L62" i="6"/>
  <c r="L63" i="6"/>
  <c r="L43" i="7"/>
  <c r="C18" i="6"/>
  <c r="D18" i="7"/>
  <c r="D18" i="12"/>
  <c r="F47" i="6"/>
  <c r="F43" i="7"/>
  <c r="F24" i="6"/>
  <c r="E24" i="6"/>
  <c r="D48" i="16"/>
  <c r="C46" i="5"/>
  <c r="E51" i="7"/>
  <c r="E51" i="12" s="1"/>
  <c r="E70" i="12" s="1"/>
  <c r="E78" i="12" s="1"/>
  <c r="E43" i="16"/>
  <c r="D51" i="7" s="1"/>
  <c r="E30" i="7"/>
  <c r="F34" i="6"/>
  <c r="H34" i="6"/>
  <c r="H33" i="7"/>
  <c r="H45" i="7"/>
  <c r="H45" i="12"/>
  <c r="H43" i="7"/>
  <c r="L15" i="7"/>
  <c r="L15" i="12"/>
  <c r="L3" i="6"/>
  <c r="J23" i="5"/>
  <c r="J24" i="5"/>
  <c r="J35" i="5"/>
  <c r="J56" i="5"/>
  <c r="J57" i="5"/>
  <c r="E19" i="5"/>
  <c r="F23" i="5"/>
  <c r="M45" i="7"/>
  <c r="M45" i="12"/>
  <c r="M64" i="12"/>
  <c r="Q64" i="12"/>
  <c r="Q64" i="7"/>
  <c r="M19" i="6"/>
  <c r="D43" i="6"/>
  <c r="E43" i="7"/>
  <c r="K24" i="12"/>
  <c r="M34" i="6"/>
  <c r="M47" i="6"/>
  <c r="J42" i="5"/>
  <c r="J43" i="5"/>
  <c r="J44" i="5"/>
  <c r="I44" i="5"/>
  <c r="H44" i="5"/>
  <c r="G44" i="5"/>
  <c r="F44" i="5"/>
  <c r="E44" i="5"/>
  <c r="D44" i="5"/>
  <c r="C44" i="5"/>
  <c r="B44" i="5"/>
  <c r="L24" i="12"/>
  <c r="J24" i="7"/>
  <c r="J21" i="12"/>
  <c r="J24" i="12"/>
  <c r="J62" i="6"/>
  <c r="J63" i="6"/>
  <c r="F34" i="16"/>
  <c r="G34" i="16"/>
  <c r="G32" i="16" s="1"/>
  <c r="K53" i="16"/>
  <c r="H21" i="12"/>
  <c r="H24" i="12"/>
  <c r="F45" i="7"/>
  <c r="F45" i="12"/>
  <c r="M3" i="6"/>
  <c r="K30" i="7"/>
  <c r="J36" i="6"/>
  <c r="B35" i="5"/>
  <c r="C35" i="5"/>
  <c r="E32" i="7"/>
  <c r="E32" i="12" s="1"/>
  <c r="I47" i="7"/>
  <c r="M40" i="12"/>
  <c r="M73" i="12" s="1"/>
  <c r="M81" i="12" s="1"/>
  <c r="I28" i="16"/>
  <c r="E33" i="16"/>
  <c r="D33" i="16" s="1"/>
  <c r="E25" i="16"/>
  <c r="H13" i="7"/>
  <c r="H13" i="12"/>
  <c r="G13" i="6"/>
  <c r="H3" i="6"/>
  <c r="I2" i="5"/>
  <c r="H2" i="5"/>
  <c r="H15" i="5"/>
  <c r="H24" i="5"/>
  <c r="H69" i="5"/>
  <c r="H19" i="6"/>
  <c r="H36" i="6"/>
  <c r="H75" i="6"/>
  <c r="E22" i="5"/>
  <c r="D22" i="5"/>
  <c r="C22" i="5"/>
  <c r="I15" i="5"/>
  <c r="I24" i="5"/>
  <c r="I69" i="5"/>
  <c r="G2" i="5"/>
  <c r="G15" i="5"/>
  <c r="F9" i="5"/>
  <c r="B64" i="12"/>
  <c r="N64" i="12"/>
  <c r="N64" i="7"/>
  <c r="B22" i="5"/>
  <c r="J47" i="16"/>
  <c r="I42" i="5"/>
  <c r="I55" i="6"/>
  <c r="I55" i="7"/>
  <c r="I55" i="12"/>
  <c r="M36" i="6"/>
  <c r="M62" i="6"/>
  <c r="M63" i="6"/>
  <c r="J69" i="5"/>
  <c r="B18" i="6"/>
  <c r="B18" i="7"/>
  <c r="B18" i="12"/>
  <c r="C18" i="7"/>
  <c r="C18" i="12"/>
  <c r="N30" i="12"/>
  <c r="E38" i="16"/>
  <c r="D38" i="16" s="1"/>
  <c r="C48" i="16"/>
  <c r="B46" i="5"/>
  <c r="B56" i="6"/>
  <c r="B56" i="7"/>
  <c r="B56" i="12"/>
  <c r="B31" i="6"/>
  <c r="J46" i="16"/>
  <c r="C33" i="6"/>
  <c r="C34" i="6"/>
  <c r="D33" i="7"/>
  <c r="D33" i="12"/>
  <c r="H33" i="12"/>
  <c r="F43" i="12"/>
  <c r="F47" i="7"/>
  <c r="H57" i="6"/>
  <c r="H57" i="7"/>
  <c r="H57" i="12"/>
  <c r="I49" i="16"/>
  <c r="H45" i="5"/>
  <c r="I54" i="6"/>
  <c r="E23" i="5"/>
  <c r="D19" i="5"/>
  <c r="L43" i="12"/>
  <c r="F14" i="6"/>
  <c r="G3" i="6"/>
  <c r="G14" i="7"/>
  <c r="G14" i="12"/>
  <c r="E43" i="12"/>
  <c r="K30" i="12"/>
  <c r="D47" i="6"/>
  <c r="C43" i="6"/>
  <c r="D43" i="7"/>
  <c r="H40" i="5"/>
  <c r="H54" i="6"/>
  <c r="I46" i="16"/>
  <c r="I50" i="16" s="1"/>
  <c r="J48" i="16"/>
  <c r="I56" i="6"/>
  <c r="I56" i="7"/>
  <c r="I56" i="12"/>
  <c r="I43" i="5"/>
  <c r="H43" i="12"/>
  <c r="I56" i="5"/>
  <c r="I57" i="5"/>
  <c r="D25" i="16"/>
  <c r="C32" i="7" s="1"/>
  <c r="H56" i="5"/>
  <c r="H57" i="5"/>
  <c r="D32" i="7"/>
  <c r="D32" i="12" s="1"/>
  <c r="D72" i="12" s="1"/>
  <c r="D80" i="12" s="1"/>
  <c r="F13" i="6"/>
  <c r="G13" i="7"/>
  <c r="G13" i="12"/>
  <c r="H62" i="6"/>
  <c r="H63" i="6"/>
  <c r="G19" i="6"/>
  <c r="G36" i="6"/>
  <c r="G75" i="6"/>
  <c r="F15" i="5"/>
  <c r="E9" i="5"/>
  <c r="F2" i="5"/>
  <c r="G24" i="5"/>
  <c r="G69" i="5"/>
  <c r="G56" i="5"/>
  <c r="G57" i="5"/>
  <c r="H54" i="7"/>
  <c r="H54" i="12"/>
  <c r="D43" i="12"/>
  <c r="G40" i="5"/>
  <c r="H46" i="16"/>
  <c r="H50" i="16" s="1"/>
  <c r="G54" i="6"/>
  <c r="I54" i="7"/>
  <c r="I54" i="12"/>
  <c r="I58" i="6"/>
  <c r="H43" i="5"/>
  <c r="H56" i="6"/>
  <c r="H56" i="7"/>
  <c r="H56" i="12"/>
  <c r="I48" i="16"/>
  <c r="H49" i="16"/>
  <c r="G57" i="6"/>
  <c r="G57" i="7"/>
  <c r="G57" i="12"/>
  <c r="G45" i="5"/>
  <c r="C19" i="5"/>
  <c r="D23" i="5"/>
  <c r="C47" i="6"/>
  <c r="C43" i="7"/>
  <c r="B43" i="6"/>
  <c r="I47" i="16"/>
  <c r="H42" i="5"/>
  <c r="H47" i="5"/>
  <c r="H62" i="5"/>
  <c r="H55" i="6"/>
  <c r="H55" i="7"/>
  <c r="H55" i="12"/>
  <c r="E14" i="6"/>
  <c r="F14" i="7"/>
  <c r="F14" i="12"/>
  <c r="F3" i="6"/>
  <c r="F19" i="6"/>
  <c r="C33" i="7"/>
  <c r="C33" i="12"/>
  <c r="B33" i="6"/>
  <c r="B33" i="7"/>
  <c r="B33" i="12"/>
  <c r="I47" i="5"/>
  <c r="I62" i="5"/>
  <c r="I63" i="5"/>
  <c r="J50" i="16"/>
  <c r="G62" i="6"/>
  <c r="G63" i="6"/>
  <c r="E13" i="6"/>
  <c r="E19" i="6"/>
  <c r="F13" i="7"/>
  <c r="F13" i="12"/>
  <c r="F56" i="5"/>
  <c r="F24" i="5"/>
  <c r="F69" i="5"/>
  <c r="B34" i="6"/>
  <c r="E13" i="5"/>
  <c r="E12" i="5"/>
  <c r="D9" i="5"/>
  <c r="F36" i="6"/>
  <c r="F75" i="6"/>
  <c r="F62" i="6"/>
  <c r="F63" i="6"/>
  <c r="G49" i="16"/>
  <c r="F57" i="6"/>
  <c r="F57" i="7"/>
  <c r="F57" i="12"/>
  <c r="F45" i="5"/>
  <c r="I58" i="7"/>
  <c r="I58" i="12"/>
  <c r="I68" i="6"/>
  <c r="H58" i="6"/>
  <c r="E14" i="7"/>
  <c r="E14" i="12"/>
  <c r="D14" i="6"/>
  <c r="H47" i="16"/>
  <c r="G42" i="5"/>
  <c r="G55" i="6"/>
  <c r="G55" i="7"/>
  <c r="G55" i="12"/>
  <c r="B19" i="5"/>
  <c r="B23" i="5"/>
  <c r="C23" i="5"/>
  <c r="H48" i="16"/>
  <c r="G43" i="5"/>
  <c r="G56" i="6"/>
  <c r="G56" i="7"/>
  <c r="G56" i="12"/>
  <c r="E11" i="16"/>
  <c r="D11" i="16" s="1"/>
  <c r="C11" i="16" s="1"/>
  <c r="E10" i="16"/>
  <c r="G46" i="16"/>
  <c r="F40" i="5"/>
  <c r="F54" i="6"/>
  <c r="B47" i="6"/>
  <c r="B43" i="7"/>
  <c r="H63" i="5"/>
  <c r="C43" i="12"/>
  <c r="G54" i="7"/>
  <c r="G54" i="12"/>
  <c r="E3" i="6"/>
  <c r="D13" i="6"/>
  <c r="E13" i="7"/>
  <c r="E13" i="12"/>
  <c r="E15" i="5"/>
  <c r="E56" i="5"/>
  <c r="E57" i="5"/>
  <c r="G58" i="6"/>
  <c r="D13" i="5"/>
  <c r="D12" i="5"/>
  <c r="C9" i="5"/>
  <c r="F57" i="5"/>
  <c r="F55" i="5"/>
  <c r="E24" i="5"/>
  <c r="F43" i="5"/>
  <c r="F56" i="6"/>
  <c r="F56" i="7"/>
  <c r="F56" i="12"/>
  <c r="G48" i="16"/>
  <c r="G58" i="7"/>
  <c r="G58" i="12"/>
  <c r="G68" i="6"/>
  <c r="F54" i="7"/>
  <c r="F54" i="12"/>
  <c r="H58" i="7"/>
  <c r="H58" i="12"/>
  <c r="H68" i="6"/>
  <c r="H69" i="6"/>
  <c r="G47" i="5"/>
  <c r="G62" i="5"/>
  <c r="G63" i="5"/>
  <c r="E40" i="5"/>
  <c r="F46" i="16"/>
  <c r="F50" i="16" s="1"/>
  <c r="E54" i="6"/>
  <c r="E13" i="16"/>
  <c r="D10" i="16"/>
  <c r="C10" i="16" s="1"/>
  <c r="F55" i="6"/>
  <c r="F55" i="7"/>
  <c r="F55" i="12"/>
  <c r="F42" i="5"/>
  <c r="G47" i="16"/>
  <c r="G50" i="16" s="1"/>
  <c r="C14" i="6"/>
  <c r="D14" i="7"/>
  <c r="D14" i="12"/>
  <c r="D3" i="6"/>
  <c r="B43" i="12"/>
  <c r="F49" i="16"/>
  <c r="E45" i="5"/>
  <c r="E57" i="6"/>
  <c r="E57" i="7"/>
  <c r="E57" i="12"/>
  <c r="E62" i="6"/>
  <c r="E63" i="6"/>
  <c r="E36" i="6"/>
  <c r="E75" i="6"/>
  <c r="D17" i="6"/>
  <c r="D16" i="6"/>
  <c r="C13" i="6"/>
  <c r="C3" i="6"/>
  <c r="D13" i="7"/>
  <c r="D13" i="12"/>
  <c r="D15" i="5"/>
  <c r="D24" i="5"/>
  <c r="C13" i="5"/>
  <c r="C12" i="5"/>
  <c r="B9" i="5"/>
  <c r="F58" i="6"/>
  <c r="F68" i="6"/>
  <c r="F69" i="6"/>
  <c r="E55" i="6"/>
  <c r="E55" i="7"/>
  <c r="E55" i="12"/>
  <c r="E42" i="5"/>
  <c r="E47" i="5"/>
  <c r="E62" i="5"/>
  <c r="F47" i="16"/>
  <c r="G69" i="6"/>
  <c r="B14" i="6"/>
  <c r="C14" i="7"/>
  <c r="C14" i="12"/>
  <c r="D45" i="5"/>
  <c r="E49" i="16"/>
  <c r="D57" i="6"/>
  <c r="D57" i="7"/>
  <c r="D57" i="12"/>
  <c r="E54" i="7"/>
  <c r="E54" i="12"/>
  <c r="D54" i="6"/>
  <c r="D40" i="5"/>
  <c r="E46" i="16"/>
  <c r="E50" i="16" s="1"/>
  <c r="F47" i="5"/>
  <c r="F62" i="5"/>
  <c r="F63" i="5"/>
  <c r="E56" i="6"/>
  <c r="E56" i="7"/>
  <c r="E56" i="12"/>
  <c r="F48" i="16"/>
  <c r="D56" i="5"/>
  <c r="D57" i="5"/>
  <c r="F58" i="7"/>
  <c r="F58" i="12"/>
  <c r="D16" i="7"/>
  <c r="D16" i="12"/>
  <c r="D19" i="6"/>
  <c r="C16" i="6"/>
  <c r="B13" i="6"/>
  <c r="C13" i="7"/>
  <c r="C13" i="12"/>
  <c r="C17" i="6"/>
  <c r="D17" i="7"/>
  <c r="D17" i="12"/>
  <c r="C15" i="5"/>
  <c r="C24" i="5"/>
  <c r="B12" i="5"/>
  <c r="E63" i="5"/>
  <c r="I64" i="5"/>
  <c r="B13" i="5"/>
  <c r="C56" i="5"/>
  <c r="C57" i="5"/>
  <c r="D54" i="7"/>
  <c r="D54" i="12"/>
  <c r="C40" i="5"/>
  <c r="C54" i="6"/>
  <c r="D46" i="16"/>
  <c r="D49" i="16"/>
  <c r="C57" i="6"/>
  <c r="C57" i="7"/>
  <c r="C57" i="12"/>
  <c r="C45" i="5"/>
  <c r="D55" i="6"/>
  <c r="D55" i="7"/>
  <c r="D55" i="12"/>
  <c r="D42" i="5"/>
  <c r="E47" i="16"/>
  <c r="B14" i="7"/>
  <c r="B14" i="12"/>
  <c r="B3" i="6"/>
  <c r="E58" i="6"/>
  <c r="B15" i="5"/>
  <c r="B24" i="5"/>
  <c r="B16" i="6"/>
  <c r="B16" i="7"/>
  <c r="B16" i="12"/>
  <c r="B13" i="7"/>
  <c r="B13" i="12"/>
  <c r="D36" i="6"/>
  <c r="D62" i="6"/>
  <c r="D63" i="6"/>
  <c r="C17" i="7"/>
  <c r="C17" i="12"/>
  <c r="B17" i="6"/>
  <c r="B17" i="7"/>
  <c r="B17" i="12"/>
  <c r="C16" i="7"/>
  <c r="C16" i="12"/>
  <c r="C19" i="6"/>
  <c r="B56" i="5"/>
  <c r="B57" i="5"/>
  <c r="E58" i="7"/>
  <c r="E58" i="12"/>
  <c r="E68" i="6"/>
  <c r="E69" i="6"/>
  <c r="C55" i="6"/>
  <c r="C55" i="7"/>
  <c r="C55" i="12"/>
  <c r="D47" i="16"/>
  <c r="C42" i="5"/>
  <c r="C47" i="5"/>
  <c r="C62" i="5"/>
  <c r="D58" i="6"/>
  <c r="C54" i="7"/>
  <c r="C54" i="12"/>
  <c r="C49" i="16"/>
  <c r="B57" i="6"/>
  <c r="B57" i="7"/>
  <c r="B57" i="12"/>
  <c r="D47" i="5"/>
  <c r="D62" i="5"/>
  <c r="D63" i="5"/>
  <c r="I65" i="5"/>
  <c r="B54" i="6"/>
  <c r="B40" i="5"/>
  <c r="C46" i="16"/>
  <c r="C63" i="5"/>
  <c r="B19" i="6"/>
  <c r="B62" i="6"/>
  <c r="B63" i="6"/>
  <c r="C36" i="6"/>
  <c r="C62" i="6"/>
  <c r="C63" i="6"/>
  <c r="C58" i="6"/>
  <c r="C68" i="6"/>
  <c r="C47" i="16"/>
  <c r="B55" i="6"/>
  <c r="B55" i="7"/>
  <c r="B55" i="12"/>
  <c r="B42" i="5"/>
  <c r="B47" i="5"/>
  <c r="B62" i="5"/>
  <c r="B63" i="5"/>
  <c r="I66" i="5"/>
  <c r="D58" i="7"/>
  <c r="D58" i="12"/>
  <c r="D68" i="6"/>
  <c r="D69" i="6"/>
  <c r="H70" i="6"/>
  <c r="C58" i="7"/>
  <c r="C58" i="12"/>
  <c r="B54" i="7"/>
  <c r="B54" i="12"/>
  <c r="B36" i="6"/>
  <c r="B58" i="6"/>
  <c r="B68" i="6"/>
  <c r="B69" i="6"/>
  <c r="C69" i="6"/>
  <c r="H71" i="6"/>
  <c r="B58" i="7"/>
  <c r="B58" i="12"/>
  <c r="H72" i="6"/>
  <c r="D13" i="16" l="1"/>
  <c r="M47" i="12"/>
  <c r="G47" i="7"/>
  <c r="G62" i="7" s="1"/>
  <c r="G63" i="7" s="1"/>
  <c r="F64" i="16"/>
  <c r="D30" i="7"/>
  <c r="D30" i="12" s="1"/>
  <c r="E34" i="16"/>
  <c r="F32" i="16"/>
  <c r="G34" i="7"/>
  <c r="G36" i="7" s="1"/>
  <c r="C25" i="16"/>
  <c r="B32" i="7" s="1"/>
  <c r="E72" i="7" s="1"/>
  <c r="E80" i="7" s="1"/>
  <c r="M34" i="7"/>
  <c r="F72" i="7"/>
  <c r="F80" i="7" s="1"/>
  <c r="L47" i="7"/>
  <c r="E9" i="16"/>
  <c r="D19" i="7" s="1"/>
  <c r="D19" i="12" s="1"/>
  <c r="D68" i="12" s="1"/>
  <c r="D76" i="12" s="1"/>
  <c r="D9" i="16"/>
  <c r="C19" i="7" s="1"/>
  <c r="C19" i="12" s="1"/>
  <c r="C68" i="12" s="1"/>
  <c r="C76" i="12" s="1"/>
  <c r="C13" i="16"/>
  <c r="C9" i="16" s="1"/>
  <c r="B19" i="7" s="1"/>
  <c r="G29" i="16"/>
  <c r="G61" i="16"/>
  <c r="I29" i="16"/>
  <c r="I61" i="16"/>
  <c r="H47" i="7"/>
  <c r="H62" i="7" s="1"/>
  <c r="H63" i="7" s="1"/>
  <c r="J47" i="7"/>
  <c r="J62" i="7" s="1"/>
  <c r="J63" i="7" s="1"/>
  <c r="J34" i="7"/>
  <c r="J36" i="7" s="1"/>
  <c r="I71" i="12"/>
  <c r="I77" i="12" s="1"/>
  <c r="F71" i="12"/>
  <c r="F77" i="12" s="1"/>
  <c r="H71" i="12"/>
  <c r="H77" i="12" s="1"/>
  <c r="I34" i="7"/>
  <c r="I36" i="7" s="1"/>
  <c r="I62" i="7"/>
  <c r="I63" i="7" s="1"/>
  <c r="D59" i="12"/>
  <c r="D69" i="12" s="1"/>
  <c r="D79" i="12" s="1"/>
  <c r="D45" i="16"/>
  <c r="D51" i="12"/>
  <c r="D70" i="12" s="1"/>
  <c r="D78" i="12" s="1"/>
  <c r="D43" i="16"/>
  <c r="K71" i="12"/>
  <c r="K77" i="12" s="1"/>
  <c r="K34" i="12"/>
  <c r="J34" i="12"/>
  <c r="J36" i="12" s="1"/>
  <c r="K34" i="7"/>
  <c r="K36" i="7" s="1"/>
  <c r="N71" i="12"/>
  <c r="N77" i="12" s="1"/>
  <c r="L71" i="12"/>
  <c r="L77" i="12" s="1"/>
  <c r="D31" i="7"/>
  <c r="D39" i="16"/>
  <c r="E31" i="7"/>
  <c r="E31" i="12" s="1"/>
  <c r="G34" i="12"/>
  <c r="G36" i="12" s="1"/>
  <c r="G71" i="12"/>
  <c r="G77" i="12" s="1"/>
  <c r="J71" i="12"/>
  <c r="J77" i="12" s="1"/>
  <c r="C38" i="16"/>
  <c r="B30" i="7" s="1"/>
  <c r="C30" i="7"/>
  <c r="E30" i="12"/>
  <c r="E32" i="16"/>
  <c r="D34" i="16"/>
  <c r="C34" i="16" s="1"/>
  <c r="G73" i="12"/>
  <c r="G81" i="12" s="1"/>
  <c r="G47" i="12"/>
  <c r="I47" i="12"/>
  <c r="I62" i="12" s="1"/>
  <c r="I63" i="12" s="1"/>
  <c r="I73" i="12"/>
  <c r="I81" i="12" s="1"/>
  <c r="J73" i="12"/>
  <c r="J81" i="12" s="1"/>
  <c r="J47" i="12"/>
  <c r="J62" i="12" s="1"/>
  <c r="J63" i="12" s="1"/>
  <c r="K47" i="12"/>
  <c r="H47" i="12"/>
  <c r="H62" i="12" s="1"/>
  <c r="H63" i="12" s="1"/>
  <c r="L47" i="12"/>
  <c r="C33" i="16"/>
  <c r="C40" i="7"/>
  <c r="F47" i="12"/>
  <c r="F62" i="12" s="1"/>
  <c r="F63" i="12" s="1"/>
  <c r="F73" i="12"/>
  <c r="F81" i="12" s="1"/>
  <c r="D40" i="7"/>
  <c r="E40" i="7"/>
  <c r="L72" i="12"/>
  <c r="L80" i="12" s="1"/>
  <c r="L34" i="12"/>
  <c r="H72" i="12"/>
  <c r="H80" i="12" s="1"/>
  <c r="H34" i="12"/>
  <c r="H36" i="12" s="1"/>
  <c r="I34" i="12"/>
  <c r="I36" i="12" s="1"/>
  <c r="I72" i="12"/>
  <c r="I80" i="12" s="1"/>
  <c r="M34" i="12"/>
  <c r="M72" i="12"/>
  <c r="M80" i="12" s="1"/>
  <c r="L34" i="7"/>
  <c r="G62" i="12"/>
  <c r="G63" i="12" s="1"/>
  <c r="H34" i="7"/>
  <c r="H36" i="7" s="1"/>
  <c r="L72" i="7"/>
  <c r="L80" i="7" s="1"/>
  <c r="F72" i="12"/>
  <c r="F80" i="12" s="1"/>
  <c r="F34" i="12"/>
  <c r="F36" i="12" s="1"/>
  <c r="E72" i="12"/>
  <c r="E80" i="12" s="1"/>
  <c r="C72" i="7"/>
  <c r="C80" i="7" s="1"/>
  <c r="C32" i="12"/>
  <c r="N72" i="7"/>
  <c r="N80" i="7" s="1"/>
  <c r="H72" i="7"/>
  <c r="H80" i="7" s="1"/>
  <c r="F62" i="7"/>
  <c r="F63" i="7" s="1"/>
  <c r="I72" i="7"/>
  <c r="I80" i="7" s="1"/>
  <c r="J72" i="7"/>
  <c r="J80" i="7" s="1"/>
  <c r="K72" i="7"/>
  <c r="K80" i="7" s="1"/>
  <c r="D72" i="7"/>
  <c r="D80" i="7" s="1"/>
  <c r="F34" i="7"/>
  <c r="F36" i="7" s="1"/>
  <c r="B32" i="12"/>
  <c r="M72" i="7"/>
  <c r="M80" i="7" s="1"/>
  <c r="D26" i="16"/>
  <c r="E24" i="16"/>
  <c r="F24" i="16"/>
  <c r="F28" i="16" s="1"/>
  <c r="J28" i="16"/>
  <c r="K28" i="16"/>
  <c r="M28" i="16"/>
  <c r="H28" i="16"/>
  <c r="P53" i="16"/>
  <c r="F53" i="16"/>
  <c r="E20" i="16"/>
  <c r="G53" i="16"/>
  <c r="H53" i="16"/>
  <c r="N53" i="16"/>
  <c r="N28" i="16"/>
  <c r="P28" i="16"/>
  <c r="O28" i="16"/>
  <c r="N19" i="12"/>
  <c r="N68" i="12" s="1"/>
  <c r="N76" i="12" s="1"/>
  <c r="M62" i="7"/>
  <c r="M19" i="12"/>
  <c r="M36" i="7"/>
  <c r="K19" i="12"/>
  <c r="K62" i="7"/>
  <c r="L19" i="7"/>
  <c r="M53" i="16"/>
  <c r="O53" i="16"/>
  <c r="L28" i="16"/>
  <c r="L53" i="16"/>
  <c r="C7" i="16"/>
  <c r="E28" i="16" l="1"/>
  <c r="E29" i="16" s="1"/>
  <c r="B72" i="7"/>
  <c r="B80" i="7" s="1"/>
  <c r="G72" i="7"/>
  <c r="G80" i="7" s="1"/>
  <c r="E34" i="7"/>
  <c r="E36" i="7" s="1"/>
  <c r="E34" i="12"/>
  <c r="E36" i="12" s="1"/>
  <c r="B19" i="12"/>
  <c r="B68" i="12" s="1"/>
  <c r="B76" i="12" s="1"/>
  <c r="B68" i="7"/>
  <c r="B76" i="7" s="1"/>
  <c r="G68" i="7"/>
  <c r="G76" i="7" s="1"/>
  <c r="H68" i="7"/>
  <c r="H76" i="7" s="1"/>
  <c r="F68" i="7"/>
  <c r="F76" i="7" s="1"/>
  <c r="I68" i="7"/>
  <c r="I76" i="7" s="1"/>
  <c r="C68" i="7"/>
  <c r="C76" i="7" s="1"/>
  <c r="N68" i="7"/>
  <c r="N76" i="7" s="1"/>
  <c r="J68" i="7"/>
  <c r="J76" i="7" s="1"/>
  <c r="E68" i="7"/>
  <c r="E76" i="7" s="1"/>
  <c r="M68" i="7"/>
  <c r="M76" i="7" s="1"/>
  <c r="D68" i="7"/>
  <c r="D76" i="7" s="1"/>
  <c r="K68" i="7"/>
  <c r="K76" i="7" s="1"/>
  <c r="H29" i="16"/>
  <c r="H61" i="16"/>
  <c r="N29" i="16"/>
  <c r="N61" i="16"/>
  <c r="M29" i="16"/>
  <c r="M61" i="16"/>
  <c r="P29" i="16"/>
  <c r="P61" i="16"/>
  <c r="L29" i="16"/>
  <c r="L61" i="16"/>
  <c r="K29" i="16"/>
  <c r="K61" i="16"/>
  <c r="O29" i="16"/>
  <c r="O61" i="16"/>
  <c r="J29" i="16"/>
  <c r="J61" i="16"/>
  <c r="F29" i="16"/>
  <c r="F61" i="16"/>
  <c r="C59" i="7"/>
  <c r="C45" i="16"/>
  <c r="D50" i="16"/>
  <c r="C43" i="16"/>
  <c r="B51" i="7" s="1"/>
  <c r="C51" i="7"/>
  <c r="B14" i="13" a="1"/>
  <c r="E14" i="13" s="1"/>
  <c r="E71" i="12"/>
  <c r="E77" i="12" s="1"/>
  <c r="C39" i="16"/>
  <c r="B31" i="7" s="1"/>
  <c r="B31" i="12" s="1"/>
  <c r="C31" i="7"/>
  <c r="D31" i="12"/>
  <c r="D34" i="7"/>
  <c r="D36" i="7" s="1"/>
  <c r="B71" i="7"/>
  <c r="B79" i="7" s="1"/>
  <c r="B30" i="12"/>
  <c r="C30" i="12"/>
  <c r="D32" i="16"/>
  <c r="B40" i="7"/>
  <c r="E73" i="7" s="1"/>
  <c r="E81" i="7" s="1"/>
  <c r="E40" i="12"/>
  <c r="E47" i="7"/>
  <c r="E62" i="7" s="1"/>
  <c r="E63" i="7" s="1"/>
  <c r="C47" i="7"/>
  <c r="C73" i="7"/>
  <c r="C81" i="7" s="1"/>
  <c r="C40" i="12"/>
  <c r="D40" i="12"/>
  <c r="D47" i="7"/>
  <c r="D62" i="7" s="1"/>
  <c r="D63" i="7" s="1"/>
  <c r="C72" i="12"/>
  <c r="C80" i="12" s="1"/>
  <c r="B72" i="12"/>
  <c r="B80" i="12" s="1"/>
  <c r="D24" i="16"/>
  <c r="C26" i="16"/>
  <c r="C24" i="16" s="1"/>
  <c r="D20" i="16"/>
  <c r="E52" i="16"/>
  <c r="E53" i="16" s="1"/>
  <c r="L36" i="7"/>
  <c r="L68" i="7"/>
  <c r="L76" i="7" s="1"/>
  <c r="L19" i="12"/>
  <c r="L62" i="7"/>
  <c r="L63" i="7" s="1"/>
  <c r="M63" i="7"/>
  <c r="Q62" i="7"/>
  <c r="K63" i="7"/>
  <c r="P62" i="7"/>
  <c r="K68" i="12"/>
  <c r="K76" i="12" s="1"/>
  <c r="K36" i="12"/>
  <c r="K62" i="12"/>
  <c r="M36" i="12"/>
  <c r="M62" i="12"/>
  <c r="M68" i="12"/>
  <c r="M76" i="12" s="1"/>
  <c r="E71" i="7" l="1"/>
  <c r="E79" i="7" s="1"/>
  <c r="E61" i="16"/>
  <c r="D73" i="7"/>
  <c r="D81" i="7" s="1"/>
  <c r="B34" i="12"/>
  <c r="B36" i="12" s="1"/>
  <c r="G71" i="7"/>
  <c r="G79" i="7" s="1"/>
  <c r="F71" i="7"/>
  <c r="F79" i="7" s="1"/>
  <c r="F14" i="13"/>
  <c r="C62" i="7"/>
  <c r="C63" i="7" s="1"/>
  <c r="B59" i="7"/>
  <c r="C50" i="16"/>
  <c r="C59" i="12"/>
  <c r="C69" i="12" s="1"/>
  <c r="C79" i="12" s="1"/>
  <c r="G14" i="13"/>
  <c r="B14" i="13"/>
  <c r="C51" i="12"/>
  <c r="C70" i="12" s="1"/>
  <c r="C78" i="12" s="1"/>
  <c r="C70" i="7"/>
  <c r="C78" i="7" s="1"/>
  <c r="E70" i="7"/>
  <c r="E78" i="7" s="1"/>
  <c r="F70" i="7"/>
  <c r="F78" i="7" s="1"/>
  <c r="H70" i="7"/>
  <c r="H78" i="7" s="1"/>
  <c r="B70" i="7"/>
  <c r="B78" i="7" s="1"/>
  <c r="G70" i="7"/>
  <c r="G78" i="7" s="1"/>
  <c r="M70" i="7"/>
  <c r="M78" i="7" s="1"/>
  <c r="I70" i="7"/>
  <c r="I78" i="7" s="1"/>
  <c r="L70" i="7"/>
  <c r="L78" i="7" s="1"/>
  <c r="K70" i="7"/>
  <c r="K78" i="7" s="1"/>
  <c r="N70" i="7"/>
  <c r="N78" i="7" s="1"/>
  <c r="J70" i="7"/>
  <c r="J78" i="7" s="1"/>
  <c r="B51" i="12"/>
  <c r="B70" i="12" s="1"/>
  <c r="B78" i="12" s="1"/>
  <c r="D70" i="7"/>
  <c r="D78" i="7" s="1"/>
  <c r="C14" i="13"/>
  <c r="D14" i="13"/>
  <c r="D71" i="7"/>
  <c r="D79" i="7" s="1"/>
  <c r="M71" i="7"/>
  <c r="M79" i="7" s="1"/>
  <c r="I71" i="7"/>
  <c r="I79" i="7" s="1"/>
  <c r="K71" i="7"/>
  <c r="K79" i="7" s="1"/>
  <c r="L71" i="7"/>
  <c r="L79" i="7" s="1"/>
  <c r="C32" i="16"/>
  <c r="C71" i="7"/>
  <c r="C79" i="7" s="1"/>
  <c r="N71" i="7"/>
  <c r="N79" i="7" s="1"/>
  <c r="B34" i="7"/>
  <c r="B36" i="7" s="1"/>
  <c r="H71" i="7"/>
  <c r="H79" i="7" s="1"/>
  <c r="J71" i="7"/>
  <c r="J79" i="7" s="1"/>
  <c r="D71" i="12"/>
  <c r="D77" i="12" s="1"/>
  <c r="D34" i="12"/>
  <c r="D36" i="12" s="1"/>
  <c r="C31" i="12"/>
  <c r="C34" i="12" s="1"/>
  <c r="C36" i="12" s="1"/>
  <c r="C34" i="7"/>
  <c r="C36" i="7" s="1"/>
  <c r="B71" i="12"/>
  <c r="B77" i="12" s="1"/>
  <c r="C47" i="12"/>
  <c r="C73" i="12"/>
  <c r="C81" i="12" s="1"/>
  <c r="E73" i="12"/>
  <c r="E81" i="12" s="1"/>
  <c r="E47" i="12"/>
  <c r="E62" i="12" s="1"/>
  <c r="E63" i="12" s="1"/>
  <c r="D47" i="12"/>
  <c r="D62" i="12" s="1"/>
  <c r="D63" i="12" s="1"/>
  <c r="D73" i="12"/>
  <c r="D81" i="12" s="1"/>
  <c r="G73" i="7"/>
  <c r="G81" i="7" s="1"/>
  <c r="J73" i="7"/>
  <c r="J81" i="7" s="1"/>
  <c r="B40" i="12"/>
  <c r="M73" i="7"/>
  <c r="M81" i="7" s="1"/>
  <c r="L73" i="7"/>
  <c r="L81" i="7" s="1"/>
  <c r="K73" i="7"/>
  <c r="K81" i="7" s="1"/>
  <c r="H73" i="7"/>
  <c r="H81" i="7" s="1"/>
  <c r="N73" i="7"/>
  <c r="N81" i="7" s="1"/>
  <c r="B73" i="7"/>
  <c r="B81" i="7" s="1"/>
  <c r="B47" i="7"/>
  <c r="I73" i="7"/>
  <c r="I81" i="7" s="1"/>
  <c r="F73" i="7"/>
  <c r="F81" i="7" s="1"/>
  <c r="C20" i="16"/>
  <c r="D52" i="16"/>
  <c r="D53" i="16" s="1"/>
  <c r="D28" i="16"/>
  <c r="K63" i="12"/>
  <c r="P62" i="12"/>
  <c r="L62" i="12"/>
  <c r="L63" i="12" s="1"/>
  <c r="L36" i="12"/>
  <c r="L68" i="12"/>
  <c r="L76" i="12" s="1"/>
  <c r="M63" i="12"/>
  <c r="Q62" i="12"/>
  <c r="D29" i="16" l="1"/>
  <c r="D61" i="16"/>
  <c r="L69" i="7"/>
  <c r="L77" i="7" s="1"/>
  <c r="E69" i="7"/>
  <c r="E77" i="7" s="1"/>
  <c r="K69" i="7"/>
  <c r="K77" i="7" s="1"/>
  <c r="N69" i="7"/>
  <c r="N77" i="7" s="1"/>
  <c r="F69" i="7"/>
  <c r="F77" i="7" s="1"/>
  <c r="B69" i="7"/>
  <c r="B77" i="7" s="1"/>
  <c r="J69" i="7"/>
  <c r="J77" i="7" s="1"/>
  <c r="H69" i="7"/>
  <c r="H77" i="7" s="1"/>
  <c r="G69" i="7"/>
  <c r="G77" i="7" s="1"/>
  <c r="I69" i="7"/>
  <c r="I77" i="7" s="1"/>
  <c r="M69" i="7"/>
  <c r="M77" i="7" s="1"/>
  <c r="B59" i="12"/>
  <c r="B69" i="12" s="1"/>
  <c r="B79" i="12" s="1"/>
  <c r="D69" i="7"/>
  <c r="D77" i="7" s="1"/>
  <c r="B62" i="7"/>
  <c r="N62" i="7" s="1"/>
  <c r="C69" i="7"/>
  <c r="C77" i="7" s="1"/>
  <c r="C62" i="12"/>
  <c r="C63" i="12" s="1"/>
  <c r="C71" i="12"/>
  <c r="C77" i="12" s="1"/>
  <c r="B47" i="12"/>
  <c r="B73" i="12"/>
  <c r="B81" i="12" s="1"/>
  <c r="C52" i="16"/>
  <c r="C53" i="16" s="1"/>
  <c r="C28" i="16"/>
  <c r="A1" i="13" l="1" a="1"/>
  <c r="A7" i="13" s="1"/>
  <c r="B63" i="7"/>
  <c r="C29" i="16"/>
  <c r="C61" i="16"/>
  <c r="B62" i="12"/>
  <c r="N62" i="12" s="1"/>
  <c r="E3" i="13"/>
  <c r="F10" i="13"/>
  <c r="G4" i="13"/>
  <c r="D7" i="13"/>
  <c r="C5" i="13"/>
  <c r="B5" i="13"/>
  <c r="B63" i="12"/>
  <c r="C6" i="13" l="1"/>
  <c r="F5" i="13"/>
  <c r="A6" i="13"/>
  <c r="E6" i="13"/>
  <c r="D8" i="13"/>
  <c r="B8" i="13"/>
  <c r="C13" i="13"/>
  <c r="D2" i="13"/>
  <c r="G11" i="13"/>
  <c r="G5" i="13"/>
  <c r="F12" i="13"/>
  <c r="E2" i="13"/>
  <c r="E8" i="13"/>
  <c r="C9" i="13"/>
  <c r="E12" i="13"/>
  <c r="E9" i="13"/>
  <c r="B11" i="13"/>
  <c r="D9" i="13"/>
  <c r="C10" i="13"/>
  <c r="D4" i="13"/>
  <c r="E7" i="13"/>
  <c r="E11" i="13"/>
  <c r="F11" i="13"/>
  <c r="F6" i="13"/>
  <c r="F13" i="13"/>
  <c r="F4" i="13"/>
  <c r="C12" i="13"/>
  <c r="B6" i="13"/>
  <c r="G2" i="13"/>
  <c r="E1" i="13"/>
  <c r="F1" i="13"/>
  <c r="G12" i="13"/>
  <c r="B13" i="13"/>
  <c r="F9" i="13"/>
  <c r="C8" i="13"/>
  <c r="C4" i="13"/>
  <c r="A2" i="13"/>
  <c r="D11" i="13"/>
  <c r="B9" i="13"/>
  <c r="F3" i="13"/>
  <c r="F8" i="13"/>
  <c r="A11" i="13"/>
  <c r="G1" i="13"/>
  <c r="E13" i="13"/>
  <c r="G13" i="13"/>
  <c r="C1" i="13"/>
  <c r="G3" i="13"/>
  <c r="B2" i="13"/>
  <c r="B4" i="13"/>
  <c r="B10" i="13"/>
  <c r="C7" i="13"/>
  <c r="E5" i="13"/>
  <c r="B7" i="13"/>
  <c r="C2" i="13"/>
  <c r="A10" i="13"/>
  <c r="G8" i="13"/>
  <c r="D6" i="13"/>
  <c r="G9" i="13"/>
  <c r="B3" i="13"/>
  <c r="D10" i="13"/>
  <c r="A4" i="13"/>
  <c r="D5" i="13"/>
  <c r="G7" i="13"/>
  <c r="D13" i="13"/>
  <c r="D3" i="13"/>
  <c r="G10" i="13"/>
  <c r="A9" i="13"/>
  <c r="E4" i="13"/>
  <c r="E10" i="13"/>
  <c r="D1" i="13"/>
  <c r="A5" i="13"/>
  <c r="B12" i="13"/>
  <c r="A12" i="13"/>
  <c r="D12" i="13"/>
  <c r="F2" i="13"/>
  <c r="F7" i="13"/>
  <c r="B1" i="13"/>
  <c r="G6" i="13"/>
  <c r="A1" i="13"/>
  <c r="C11" i="13"/>
  <c r="A13" i="13"/>
  <c r="A3" i="13"/>
  <c r="C3" i="13"/>
  <c r="A8" i="13"/>
  <c r="G79" i="14"/>
  <c r="D2" i="14"/>
  <c r="G34" i="14"/>
  <c r="C41" i="14"/>
  <c r="C2" i="14"/>
  <c r="G7" i="14"/>
  <c r="I60" i="14"/>
  <c r="B19" i="14"/>
  <c r="F16" i="14"/>
  <c r="C101" i="14"/>
  <c r="G30" i="14"/>
  <c r="I68" i="14"/>
  <c r="B73" i="14"/>
  <c r="F89" i="14"/>
  <c r="C99" i="14"/>
  <c r="B8" i="14"/>
  <c r="I3" i="14"/>
  <c r="B24" i="14"/>
  <c r="B48" i="14"/>
  <c r="I51" i="14"/>
  <c r="F32" i="14"/>
  <c r="E93" i="14"/>
  <c r="F72" i="14"/>
  <c r="I8" i="14"/>
  <c r="G44" i="14"/>
  <c r="B23" i="14"/>
  <c r="F12" i="14"/>
  <c r="E39" i="14"/>
  <c r="E12" i="14"/>
  <c r="B87" i="14"/>
  <c r="C50" i="14"/>
  <c r="G50" i="14"/>
  <c r="C59" i="14"/>
  <c r="F93" i="14"/>
  <c r="F83" i="14"/>
  <c r="B83" i="14"/>
  <c r="I83" i="14"/>
  <c r="E11" i="14"/>
  <c r="D39" i="14"/>
  <c r="B22" i="14"/>
  <c r="C8" i="14"/>
  <c r="C103" i="14"/>
  <c r="G17" i="14"/>
  <c r="D37" i="14"/>
  <c r="C77" i="14"/>
  <c r="G35" i="14"/>
  <c r="F13" i="14"/>
  <c r="D40" i="14"/>
  <c r="I57" i="14"/>
  <c r="E9" i="14"/>
  <c r="F36" i="14"/>
  <c r="G53" i="14"/>
  <c r="F20" i="14"/>
  <c r="I19" i="14"/>
  <c r="F101" i="14"/>
  <c r="F24" i="14"/>
  <c r="G67" i="14"/>
  <c r="B81" i="14"/>
  <c r="I46" i="14"/>
  <c r="C98" i="14"/>
  <c r="C87" i="14"/>
  <c r="I84" i="14"/>
  <c r="B74" i="14"/>
  <c r="I25" i="14"/>
  <c r="C76" i="14"/>
  <c r="F33" i="14"/>
  <c r="F76" i="14"/>
  <c r="E98" i="14"/>
  <c r="F57" i="14"/>
  <c r="D64" i="14"/>
  <c r="I95" i="14"/>
  <c r="F30" i="14"/>
  <c r="I20" i="14"/>
  <c r="E6" i="14"/>
  <c r="G81" i="14"/>
  <c r="F15" i="14"/>
  <c r="G14" i="14"/>
  <c r="E34" i="14"/>
  <c r="G91" i="14"/>
  <c r="C79" i="14"/>
  <c r="F112" i="14"/>
  <c r="E92" i="14"/>
  <c r="G13" i="14"/>
  <c r="D15" i="14"/>
  <c r="D89" i="14"/>
  <c r="G45" i="14"/>
  <c r="B64" i="14"/>
  <c r="D91" i="14"/>
  <c r="C26" i="14"/>
  <c r="G40" i="14"/>
  <c r="C48" i="14"/>
  <c r="D79" i="14"/>
  <c r="D47" i="14"/>
  <c r="E62" i="14"/>
  <c r="B20" i="14"/>
  <c r="F58" i="14"/>
  <c r="F78" i="14"/>
  <c r="D98" i="14"/>
  <c r="G39" i="14"/>
  <c r="I10" i="14"/>
  <c r="B46" i="14"/>
  <c r="F37" i="14"/>
  <c r="E16" i="14"/>
  <c r="D92" i="14"/>
  <c r="F96" i="14"/>
  <c r="G66" i="14"/>
  <c r="G52" i="14"/>
  <c r="C112" i="14"/>
  <c r="I52" i="14"/>
  <c r="E45" i="14"/>
  <c r="C21" i="14"/>
  <c r="I86" i="14"/>
  <c r="G38" i="14"/>
  <c r="F23" i="14"/>
  <c r="G54" i="14"/>
  <c r="G75" i="14"/>
  <c r="D8" i="14"/>
  <c r="I14" i="14"/>
  <c r="I39" i="14"/>
  <c r="C58" i="14"/>
  <c r="B14" i="14"/>
  <c r="C38" i="14"/>
  <c r="F49" i="14"/>
  <c r="F71" i="14"/>
  <c r="I27" i="14"/>
  <c r="B102" i="14"/>
  <c r="I91" i="14"/>
  <c r="D44" i="14"/>
  <c r="B57" i="14"/>
  <c r="C18" i="14"/>
  <c r="F79" i="14"/>
  <c r="C13" i="14"/>
  <c r="C78" i="14"/>
  <c r="C37" i="14"/>
  <c r="F17" i="14"/>
  <c r="E78" i="14"/>
  <c r="B45" i="14"/>
  <c r="E10" i="14"/>
  <c r="F31" i="14"/>
  <c r="C91" i="14"/>
  <c r="G8" i="14"/>
  <c r="E107" i="14"/>
  <c r="C93" i="14"/>
  <c r="D55" i="14"/>
  <c r="E63" i="14"/>
  <c r="E19" i="14"/>
  <c r="I15" i="14"/>
  <c r="I105" i="14"/>
  <c r="B59" i="14"/>
  <c r="B98" i="14"/>
  <c r="I99" i="14"/>
  <c r="I81" i="14"/>
  <c r="D27" i="14"/>
  <c r="D38" i="14"/>
  <c r="E102" i="14"/>
  <c r="F62" i="14"/>
  <c r="B44" i="14"/>
  <c r="I9" i="14"/>
  <c r="G71" i="14"/>
  <c r="C31" i="14"/>
  <c r="C73" i="14"/>
  <c r="F99" i="14"/>
  <c r="I71" i="14"/>
  <c r="F29" i="14"/>
  <c r="D94" i="14"/>
  <c r="G84" i="14"/>
  <c r="G4" i="14"/>
  <c r="G24" i="14"/>
  <c r="G70" i="14"/>
  <c r="B39" i="14"/>
  <c r="B63" i="14"/>
  <c r="E17" i="14"/>
  <c r="C65" i="14"/>
  <c r="E96" i="14"/>
  <c r="F69" i="14"/>
  <c r="G56" i="14"/>
  <c r="C105" i="14"/>
  <c r="G88" i="14"/>
  <c r="D28" i="14"/>
  <c r="D100" i="14"/>
  <c r="E55" i="14"/>
  <c r="G33" i="14"/>
  <c r="D23" i="14"/>
  <c r="G93" i="14"/>
  <c r="G6" i="14"/>
  <c r="B7" i="14"/>
  <c r="B41" i="14"/>
  <c r="H107" i="14"/>
  <c r="D93" i="14"/>
  <c r="I102" i="14"/>
  <c r="D43" i="14"/>
  <c r="I85" i="14"/>
  <c r="E74" i="14"/>
  <c r="F34" i="14"/>
  <c r="F48" i="14"/>
  <c r="D13" i="14"/>
  <c r="F97" i="14"/>
  <c r="G32" i="14"/>
  <c r="D66" i="14"/>
  <c r="D10" i="14"/>
  <c r="C28" i="14"/>
  <c r="F11" i="14"/>
  <c r="I49" i="14"/>
  <c r="E85" i="14"/>
  <c r="C25" i="14"/>
  <c r="C45" i="14"/>
  <c r="F100" i="14"/>
  <c r="I45" i="14"/>
  <c r="D81" i="14"/>
  <c r="E75" i="14"/>
  <c r="I98" i="14"/>
  <c r="F98" i="14"/>
  <c r="C107" i="14"/>
  <c r="C104" i="14"/>
  <c r="C92" i="14"/>
  <c r="D54" i="14"/>
  <c r="C10" i="14"/>
  <c r="G49" i="14"/>
  <c r="I80" i="14"/>
  <c r="E44" i="14"/>
  <c r="F4" i="14"/>
  <c r="D14" i="14"/>
  <c r="E57" i="14"/>
  <c r="D41" i="14"/>
  <c r="D35" i="14"/>
  <c r="G9" i="14"/>
  <c r="B71" i="14"/>
  <c r="G112" i="14"/>
  <c r="I47" i="14"/>
  <c r="E58" i="14"/>
  <c r="I106" i="14"/>
  <c r="I92" i="14"/>
  <c r="F84" i="14"/>
  <c r="I74" i="14"/>
  <c r="B61" i="14"/>
  <c r="E48" i="14"/>
  <c r="C55" i="14"/>
  <c r="D103" i="14"/>
  <c r="F73" i="14"/>
  <c r="F92" i="14"/>
  <c r="B13" i="14"/>
  <c r="E68" i="14"/>
  <c r="F107" i="14"/>
  <c r="G74" i="14"/>
  <c r="D3" i="14"/>
  <c r="D32" i="14"/>
  <c r="B93" i="14"/>
  <c r="C100" i="14"/>
  <c r="D48" i="14"/>
  <c r="D67" i="14"/>
  <c r="I61" i="14"/>
  <c r="F56" i="14"/>
  <c r="D78" i="14"/>
  <c r="B30" i="14"/>
  <c r="E25" i="14"/>
  <c r="E89" i="14"/>
  <c r="C90" i="14"/>
  <c r="I59" i="14"/>
  <c r="D112" i="14"/>
  <c r="F90" i="14"/>
  <c r="F28" i="14"/>
  <c r="D25" i="14"/>
  <c r="G2" i="14"/>
  <c r="I29" i="14"/>
  <c r="G80" i="14"/>
  <c r="G18" i="14"/>
  <c r="C82" i="14"/>
  <c r="C71" i="14"/>
  <c r="E95" i="14"/>
  <c r="B56" i="14"/>
  <c r="C14" i="14"/>
  <c r="D71" i="14"/>
  <c r="D69" i="14"/>
  <c r="D6" i="14"/>
  <c r="I35" i="14"/>
  <c r="B42" i="14"/>
  <c r="H104" i="14"/>
  <c r="E43" i="14"/>
  <c r="B112" i="14"/>
  <c r="I78" i="14"/>
  <c r="D77" i="14"/>
  <c r="E13" i="14"/>
  <c r="I37" i="14"/>
  <c r="G26" i="14"/>
  <c r="I50" i="14"/>
  <c r="E33" i="14"/>
  <c r="G105" i="14"/>
  <c r="E70" i="14"/>
  <c r="D29" i="14"/>
  <c r="B35" i="14"/>
  <c r="C22" i="14"/>
  <c r="D104" i="14"/>
  <c r="F65" i="14"/>
  <c r="B21" i="14"/>
  <c r="B18" i="14"/>
  <c r="D95" i="14"/>
  <c r="C97" i="14"/>
  <c r="E77" i="14"/>
  <c r="G73" i="14"/>
  <c r="I21" i="14"/>
  <c r="F106" i="14"/>
  <c r="C15" i="14"/>
  <c r="C32" i="14"/>
  <c r="H32" i="14"/>
  <c r="D52" i="14"/>
  <c r="E8" i="14"/>
  <c r="D90" i="14"/>
  <c r="E112" i="14"/>
  <c r="E53" i="14"/>
  <c r="I13" i="14"/>
  <c r="I4" i="14"/>
  <c r="D76" i="14"/>
  <c r="C40" i="14"/>
  <c r="D82" i="14"/>
  <c r="G21" i="14"/>
  <c r="I32" i="14"/>
  <c r="C52" i="14"/>
  <c r="I75" i="14"/>
  <c r="G57" i="14"/>
  <c r="B33" i="14"/>
  <c r="D59" i="14"/>
  <c r="I66" i="14"/>
  <c r="I40" i="14"/>
  <c r="G3" i="14"/>
  <c r="D107" i="14"/>
  <c r="I38" i="14"/>
  <c r="I54" i="14"/>
  <c r="B68" i="14"/>
  <c r="G61" i="14"/>
  <c r="E81" i="14"/>
  <c r="I77" i="14"/>
  <c r="F10" i="14"/>
  <c r="C106" i="14"/>
  <c r="F77" i="14"/>
  <c r="G63" i="14"/>
  <c r="F67" i="14"/>
  <c r="D58" i="14"/>
  <c r="G41" i="14"/>
  <c r="I18" i="14"/>
  <c r="F46" i="14"/>
  <c r="I88" i="14"/>
  <c r="D106" i="14"/>
  <c r="D63" i="14"/>
  <c r="D56" i="14"/>
  <c r="B91" i="14"/>
  <c r="E76" i="14"/>
  <c r="G77" i="14"/>
  <c r="E97" i="14"/>
  <c r="D96" i="14"/>
  <c r="D36" i="14"/>
  <c r="B62" i="14"/>
  <c r="F21" i="14"/>
  <c r="E71" i="14"/>
  <c r="B103" i="14"/>
  <c r="I93" i="14"/>
  <c r="C75" i="14"/>
  <c r="E94" i="14"/>
  <c r="E49" i="14"/>
  <c r="B72" i="14"/>
  <c r="E69" i="14"/>
  <c r="F45" i="14"/>
  <c r="G10" i="14"/>
  <c r="F82" i="14"/>
  <c r="B15" i="14"/>
  <c r="E42" i="14"/>
  <c r="D31" i="14"/>
  <c r="C57" i="14"/>
  <c r="I7" i="14"/>
  <c r="D18" i="14"/>
  <c r="B11" i="14"/>
  <c r="C29" i="14"/>
  <c r="D97" i="14"/>
  <c r="D34" i="14"/>
  <c r="G83" i="14"/>
  <c r="C68" i="14"/>
  <c r="E2" i="14"/>
  <c r="C86" i="14"/>
  <c r="B84" i="14"/>
  <c r="F19" i="14"/>
  <c r="C27" i="14"/>
  <c r="E47" i="14"/>
  <c r="F50" i="14"/>
  <c r="B38" i="14"/>
  <c r="C49" i="14"/>
  <c r="B95" i="14"/>
  <c r="G27" i="14"/>
  <c r="D20" i="14"/>
  <c r="E5" i="14"/>
  <c r="C53" i="14"/>
  <c r="E37" i="14"/>
  <c r="D12" i="14"/>
  <c r="I72" i="14"/>
  <c r="D74" i="14"/>
  <c r="E3" i="14"/>
  <c r="C9" i="14"/>
  <c r="C3" i="14"/>
  <c r="G90" i="14"/>
  <c r="E79" i="14"/>
  <c r="C94" i="14"/>
  <c r="B106" i="14"/>
  <c r="E46" i="14"/>
  <c r="I63" i="14"/>
  <c r="E65" i="14"/>
  <c r="E100" i="14"/>
  <c r="B97" i="14"/>
  <c r="E60" i="14"/>
  <c r="F91" i="14"/>
  <c r="I101" i="14"/>
  <c r="D22" i="14"/>
  <c r="I62" i="14"/>
  <c r="G28" i="14"/>
  <c r="F104" i="14"/>
  <c r="B36" i="14"/>
  <c r="E20" i="14"/>
  <c r="D70" i="14"/>
  <c r="B47" i="14"/>
  <c r="C63" i="14"/>
  <c r="H64" i="14"/>
  <c r="G29" i="14"/>
  <c r="E32" i="14"/>
  <c r="D50" i="14"/>
  <c r="H58" i="14"/>
  <c r="I65" i="14"/>
  <c r="I34" i="14"/>
  <c r="C42" i="14"/>
  <c r="F85" i="14"/>
  <c r="B96" i="14"/>
  <c r="D75" i="14"/>
  <c r="H96" i="14"/>
  <c r="H70" i="14"/>
  <c r="B50" i="14"/>
  <c r="D17" i="14"/>
  <c r="E38" i="14"/>
  <c r="G5" i="14"/>
  <c r="I30" i="14"/>
  <c r="H86" i="14"/>
  <c r="E35" i="14"/>
  <c r="D57" i="14"/>
  <c r="E30" i="14"/>
  <c r="C35" i="14"/>
  <c r="E52" i="14"/>
  <c r="G104" i="14"/>
  <c r="C64" i="14"/>
  <c r="B54" i="14"/>
  <c r="B77" i="14"/>
  <c r="G19" i="14"/>
  <c r="G15" i="14"/>
  <c r="E27" i="14"/>
  <c r="I107" i="14"/>
  <c r="D60" i="14"/>
  <c r="B9" i="14"/>
  <c r="F55" i="14"/>
  <c r="F27" i="14"/>
  <c r="B76" i="14"/>
  <c r="D73" i="14"/>
  <c r="F61" i="14"/>
  <c r="D42" i="14"/>
  <c r="C96" i="14"/>
  <c r="G64" i="14"/>
  <c r="E36" i="14"/>
  <c r="D85" i="14"/>
  <c r="I22" i="14"/>
  <c r="F25" i="14"/>
  <c r="G103" i="14"/>
  <c r="E106" i="14"/>
  <c r="D88" i="14"/>
  <c r="C80" i="14"/>
  <c r="B94" i="14"/>
  <c r="D84" i="14"/>
  <c r="G20" i="14"/>
  <c r="E51" i="14"/>
  <c r="E101" i="14"/>
  <c r="F18" i="14"/>
  <c r="G58" i="14"/>
  <c r="E54" i="14"/>
  <c r="G37" i="14"/>
  <c r="C84" i="14"/>
  <c r="E61" i="14"/>
  <c r="G85" i="14"/>
  <c r="B49" i="14"/>
  <c r="G78" i="14"/>
  <c r="I58" i="14"/>
  <c r="B99" i="14"/>
  <c r="E7" i="14"/>
  <c r="E15" i="14"/>
  <c r="F80" i="14"/>
  <c r="E59" i="14"/>
  <c r="E28" i="14"/>
  <c r="C44" i="14"/>
  <c r="B17" i="14"/>
  <c r="E88" i="14"/>
  <c r="I28" i="14"/>
  <c r="E91" i="14"/>
  <c r="I12" i="14"/>
  <c r="C51" i="14"/>
  <c r="G106" i="14"/>
  <c r="C30" i="14"/>
  <c r="I31" i="14"/>
  <c r="I56" i="14"/>
  <c r="I36" i="14"/>
  <c r="B88" i="14"/>
  <c r="G55" i="14"/>
  <c r="I67" i="14"/>
  <c r="B3" i="14"/>
  <c r="B29" i="14"/>
  <c r="I87" i="14"/>
  <c r="G46" i="14"/>
  <c r="H76" i="14"/>
  <c r="E50" i="14"/>
  <c r="E83" i="14"/>
  <c r="H50" i="14"/>
  <c r="C67" i="14"/>
  <c r="C4" i="14"/>
  <c r="I104" i="14"/>
  <c r="B70" i="14"/>
  <c r="H22" i="14"/>
  <c r="G60" i="14"/>
  <c r="C102" i="14"/>
  <c r="C6" i="14"/>
  <c r="C61" i="14"/>
  <c r="I41" i="14"/>
  <c r="B40" i="14"/>
  <c r="I82" i="14"/>
  <c r="F86" i="14"/>
  <c r="B92" i="14"/>
  <c r="I2" i="14"/>
  <c r="C69" i="14"/>
  <c r="D80" i="14"/>
  <c r="D51" i="14"/>
  <c r="D45" i="14"/>
  <c r="B25" i="14"/>
  <c r="F68" i="14"/>
  <c r="C83" i="14"/>
  <c r="C17" i="14"/>
  <c r="F2" i="14"/>
  <c r="B104" i="14"/>
  <c r="C70" i="14"/>
  <c r="B2" i="14"/>
  <c r="C62" i="14"/>
  <c r="F6" i="14"/>
  <c r="G98" i="14"/>
  <c r="B34" i="14"/>
  <c r="C33" i="14"/>
  <c r="C72" i="14"/>
  <c r="B80" i="14"/>
  <c r="C88" i="14"/>
  <c r="D5" i="14"/>
  <c r="C19" i="14"/>
  <c r="B82" i="14"/>
  <c r="I43" i="14"/>
  <c r="F105" i="14"/>
  <c r="I16" i="14"/>
  <c r="C24" i="14"/>
  <c r="C46" i="14"/>
  <c r="E23" i="14"/>
  <c r="F51" i="14"/>
  <c r="E86" i="14"/>
  <c r="D61" i="14"/>
  <c r="G31" i="14"/>
  <c r="C56" i="14"/>
  <c r="C74" i="14"/>
  <c r="F5" i="14"/>
  <c r="I42" i="14"/>
  <c r="I79" i="14"/>
  <c r="B31" i="14"/>
  <c r="G99" i="14"/>
  <c r="F47" i="14"/>
  <c r="I89" i="14"/>
  <c r="E24" i="14"/>
  <c r="I24" i="14"/>
  <c r="C11" i="14"/>
  <c r="B32" i="14"/>
  <c r="B27" i="14"/>
  <c r="E56" i="14"/>
  <c r="D4" i="14"/>
  <c r="I44" i="14"/>
  <c r="G107" i="14"/>
  <c r="C7" i="14"/>
  <c r="E105" i="14"/>
  <c r="H2" i="14"/>
  <c r="D65" i="14"/>
  <c r="G94" i="14"/>
  <c r="E80" i="14"/>
  <c r="F9" i="14"/>
  <c r="I70" i="14"/>
  <c r="E103" i="14"/>
  <c r="I33" i="14"/>
  <c r="F14" i="14"/>
  <c r="E26" i="14"/>
  <c r="I96" i="14"/>
  <c r="F103" i="14"/>
  <c r="G43" i="14"/>
  <c r="E31" i="14"/>
  <c r="F95" i="14"/>
  <c r="G76" i="14"/>
  <c r="B75" i="14"/>
  <c r="G59" i="14"/>
  <c r="B107" i="14"/>
  <c r="E4" i="14"/>
  <c r="B65" i="14"/>
  <c r="F41" i="14"/>
  <c r="G95" i="14"/>
  <c r="B53" i="14"/>
  <c r="E99" i="14"/>
  <c r="E22" i="14"/>
  <c r="G16" i="14"/>
  <c r="E87" i="14"/>
  <c r="D26" i="14"/>
  <c r="F75" i="14"/>
  <c r="G25" i="14"/>
  <c r="F26" i="14"/>
  <c r="E67" i="14"/>
  <c r="B4" i="14"/>
  <c r="D102" i="14"/>
  <c r="D24" i="14"/>
  <c r="E40" i="14"/>
  <c r="F42" i="14"/>
  <c r="C66" i="14"/>
  <c r="D33" i="14"/>
  <c r="G65" i="14"/>
  <c r="B89" i="14"/>
  <c r="F81" i="14"/>
  <c r="C36" i="14"/>
  <c r="G22" i="14"/>
  <c r="F88" i="14"/>
  <c r="B79" i="14"/>
  <c r="G36" i="14"/>
  <c r="B100" i="14"/>
  <c r="E66" i="14"/>
  <c r="G23" i="14"/>
  <c r="D83" i="14"/>
  <c r="C16" i="14"/>
  <c r="E64" i="14"/>
  <c r="I6" i="14"/>
  <c r="B86" i="14"/>
  <c r="E41" i="14"/>
  <c r="B5" i="14"/>
  <c r="I100" i="14"/>
  <c r="B78" i="14"/>
  <c r="C54" i="14"/>
  <c r="G102" i="14"/>
  <c r="F59" i="14"/>
  <c r="C85" i="14"/>
  <c r="F54" i="14"/>
  <c r="B6" i="14"/>
  <c r="D16" i="14"/>
  <c r="I48" i="14"/>
  <c r="D11" i="14"/>
  <c r="D87" i="14"/>
  <c r="E84" i="14"/>
  <c r="B69" i="14"/>
  <c r="F70" i="14"/>
  <c r="B67" i="14"/>
  <c r="I26" i="14"/>
  <c r="F52" i="14"/>
  <c r="C34" i="14"/>
  <c r="E14" i="14"/>
  <c r="B43" i="14"/>
  <c r="D68" i="14"/>
  <c r="G48" i="14"/>
  <c r="B101" i="14"/>
  <c r="I90" i="14"/>
  <c r="D7" i="14"/>
  <c r="D101" i="14"/>
  <c r="B37" i="14"/>
  <c r="B51" i="14"/>
  <c r="G68" i="14"/>
  <c r="F39" i="14"/>
  <c r="G72" i="14"/>
  <c r="B66" i="14"/>
  <c r="I76" i="14"/>
  <c r="F3" i="14"/>
  <c r="D72" i="14"/>
  <c r="E18" i="14"/>
  <c r="C60" i="14"/>
  <c r="G96" i="14"/>
  <c r="G86" i="14"/>
  <c r="F63" i="14"/>
  <c r="E104" i="14"/>
  <c r="D99" i="14"/>
  <c r="C43" i="14"/>
  <c r="F87" i="14"/>
  <c r="E29" i="14"/>
  <c r="F7" i="14"/>
  <c r="E82" i="14"/>
  <c r="B12" i="14"/>
  <c r="B28" i="14"/>
  <c r="C47" i="14"/>
  <c r="D19" i="14"/>
  <c r="G12" i="14"/>
  <c r="I69" i="14"/>
  <c r="G47" i="14"/>
  <c r="B16" i="14"/>
  <c r="G69" i="14"/>
  <c r="D53" i="14"/>
  <c r="F38" i="14"/>
  <c r="B52" i="14"/>
  <c r="G11" i="14"/>
  <c r="G82" i="14"/>
  <c r="B58" i="14"/>
  <c r="B85" i="14"/>
  <c r="F8" i="14"/>
  <c r="B10" i="14"/>
  <c r="B26" i="14"/>
  <c r="F43" i="14"/>
  <c r="D46" i="14"/>
  <c r="D9" i="14"/>
  <c r="F35" i="14"/>
  <c r="I94" i="14"/>
  <c r="E90" i="14"/>
  <c r="G97" i="14"/>
  <c r="E72" i="14"/>
  <c r="F60" i="14"/>
  <c r="I5" i="14"/>
  <c r="I55" i="14"/>
  <c r="C39" i="14"/>
  <c r="F44" i="14"/>
  <c r="I23" i="14"/>
  <c r="F102" i="14"/>
  <c r="C95" i="14"/>
  <c r="I17" i="14"/>
  <c r="F40" i="14"/>
  <c r="B90" i="14"/>
  <c r="C20" i="14"/>
  <c r="G92" i="14"/>
  <c r="F64" i="14"/>
  <c r="F53" i="14"/>
  <c r="I64" i="14"/>
  <c r="G42" i="14"/>
  <c r="I103" i="14"/>
  <c r="I53" i="14"/>
  <c r="G51" i="14"/>
  <c r="G100" i="14"/>
  <c r="I11" i="14"/>
  <c r="D21" i="14"/>
  <c r="D86" i="14"/>
  <c r="F94" i="14"/>
  <c r="C23" i="14"/>
  <c r="G62" i="14"/>
  <c r="B105" i="14"/>
  <c r="D62" i="14"/>
  <c r="G101" i="14"/>
  <c r="B55" i="14"/>
  <c r="I97" i="14"/>
  <c r="C5" i="14"/>
  <c r="C12" i="14"/>
  <c r="F66" i="14"/>
  <c r="I73" i="14"/>
  <c r="B60" i="14"/>
  <c r="D105" i="14"/>
  <c r="D49" i="14"/>
  <c r="C89" i="14"/>
  <c r="E21" i="14"/>
  <c r="D30" i="14"/>
  <c r="F74" i="14"/>
  <c r="F22" i="14"/>
  <c r="G87" i="14"/>
  <c r="E73" i="14"/>
  <c r="G89" i="14"/>
  <c r="C81" i="14"/>
  <c r="DH2" i="15" l="1" a="1"/>
  <c r="DH6" i="15" s="1"/>
  <c r="DH14" i="15" s="1"/>
  <c r="A1" i="15" a="1"/>
  <c r="W3" i="15" s="1"/>
  <c r="BX5" i="15" l="1"/>
  <c r="BX13" i="15" s="1"/>
  <c r="CA5" i="15"/>
  <c r="AO5" i="15"/>
  <c r="V1" i="15"/>
  <c r="H5" i="15"/>
  <c r="CD4" i="15"/>
  <c r="J3" i="15"/>
  <c r="AC7" i="15"/>
  <c r="BE2" i="15"/>
  <c r="BF6" i="15"/>
  <c r="BF14" i="15" s="1"/>
  <c r="Z5" i="15"/>
  <c r="BH3" i="15"/>
  <c r="I3" i="15"/>
  <c r="AR7" i="15"/>
  <c r="BK2" i="15"/>
  <c r="CG7" i="15"/>
  <c r="AO6" i="15"/>
  <c r="Q7" i="15"/>
  <c r="BF7" i="15"/>
  <c r="BF15" i="15" s="1"/>
  <c r="CZ6" i="15"/>
  <c r="CZ14" i="15" s="1"/>
  <c r="CX2" i="15"/>
  <c r="CV2" i="15"/>
  <c r="AX2" i="15"/>
  <c r="AX10" i="15" s="1"/>
  <c r="BD5" i="15"/>
  <c r="CV1" i="15"/>
  <c r="CM1" i="15"/>
  <c r="AL3" i="15"/>
  <c r="AV1" i="15"/>
  <c r="BA2" i="15"/>
  <c r="CH5" i="15"/>
  <c r="CH13" i="15" s="1"/>
  <c r="AX7" i="15"/>
  <c r="AX15" i="15" s="1"/>
  <c r="BE15" i="15" s="1"/>
  <c r="AZ1" i="15"/>
  <c r="G7" i="15"/>
  <c r="H7" i="15"/>
  <c r="CP5" i="15"/>
  <c r="L3" i="15"/>
  <c r="CY7" i="15"/>
  <c r="AW4" i="15"/>
  <c r="AW5" i="15"/>
  <c r="CY6" i="15"/>
  <c r="V5" i="15"/>
  <c r="V13" i="15" s="1"/>
  <c r="BS3" i="15"/>
  <c r="O6" i="15"/>
  <c r="BZ6" i="15"/>
  <c r="AW6" i="15"/>
  <c r="U5" i="15"/>
  <c r="AT1" i="15"/>
  <c r="I5" i="15"/>
  <c r="L7" i="15"/>
  <c r="CH2" i="15"/>
  <c r="CH10" i="15" s="1"/>
  <c r="CB7" i="15"/>
  <c r="CB1" i="15"/>
  <c r="DC3" i="15"/>
  <c r="DC11" i="15" s="1"/>
  <c r="AP7" i="15"/>
  <c r="AP2" i="15"/>
  <c r="BU7" i="15"/>
  <c r="BW7" i="15"/>
  <c r="CN7" i="15"/>
  <c r="I2" i="15"/>
  <c r="AJ3" i="15"/>
  <c r="DH7" i="15"/>
  <c r="DH15" i="15" s="1"/>
  <c r="AM6" i="15"/>
  <c r="AL1" i="15"/>
  <c r="BI5" i="15"/>
  <c r="CX4" i="15"/>
  <c r="P5" i="15"/>
  <c r="CO1" i="15"/>
  <c r="BO1" i="15"/>
  <c r="CN6" i="15"/>
  <c r="BG6" i="15"/>
  <c r="CQ1" i="15"/>
  <c r="CH1" i="15"/>
  <c r="CI5" i="15"/>
  <c r="CR1" i="15"/>
  <c r="AU7" i="15"/>
  <c r="AM2" i="15"/>
  <c r="BF3" i="15"/>
  <c r="BF11" i="15" s="1"/>
  <c r="P3" i="15"/>
  <c r="CQ4" i="15"/>
  <c r="BS2" i="15"/>
  <c r="BM1" i="15"/>
  <c r="CE2" i="15"/>
  <c r="J7" i="15"/>
  <c r="BT1" i="15"/>
  <c r="C3" i="15"/>
  <c r="AS1" i="15"/>
  <c r="BV1" i="15"/>
  <c r="AH6" i="15"/>
  <c r="C2" i="15"/>
  <c r="AF6" i="15"/>
  <c r="AF14" i="15" s="1"/>
  <c r="BB6" i="15"/>
  <c r="F3" i="15"/>
  <c r="AS2" i="15"/>
  <c r="O5" i="15"/>
  <c r="AM7" i="15"/>
  <c r="BL5" i="15"/>
  <c r="BL13" i="15" s="1"/>
  <c r="CY2" i="15"/>
  <c r="BR2" i="15"/>
  <c r="BR10" i="15" s="1"/>
  <c r="AK3" i="15"/>
  <c r="AA4" i="15"/>
  <c r="CI6" i="15"/>
  <c r="BD4" i="15"/>
  <c r="AJ1" i="15"/>
  <c r="CA4" i="15"/>
  <c r="M7" i="15"/>
  <c r="BZ3" i="15"/>
  <c r="S2" i="15"/>
  <c r="CM2" i="15"/>
  <c r="AA3" i="15"/>
  <c r="AO1" i="15"/>
  <c r="CB6" i="15"/>
  <c r="CN5" i="15"/>
  <c r="CP4" i="15"/>
  <c r="AL6" i="15"/>
  <c r="BL6" i="15"/>
  <c r="BL14" i="15" s="1"/>
  <c r="AL4" i="15"/>
  <c r="J5" i="15"/>
  <c r="AK6" i="15"/>
  <c r="CF5" i="15"/>
  <c r="CG6" i="15"/>
  <c r="BZ4" i="15"/>
  <c r="CJ7" i="15"/>
  <c r="BJ1" i="15"/>
  <c r="CD2" i="15"/>
  <c r="BI7" i="15"/>
  <c r="A6" i="15"/>
  <c r="AD5" i="15"/>
  <c r="CJ4" i="15"/>
  <c r="BB3" i="15"/>
  <c r="BI3" i="15"/>
  <c r="BN2" i="15"/>
  <c r="BK1" i="15"/>
  <c r="D6" i="15"/>
  <c r="BY1" i="15"/>
  <c r="BQ3" i="15"/>
  <c r="BP2" i="15"/>
  <c r="CE7" i="15"/>
  <c r="BL2" i="15"/>
  <c r="BL10" i="15" s="1"/>
  <c r="R7" i="15"/>
  <c r="AE5" i="15"/>
  <c r="M3" i="15"/>
  <c r="CN2" i="15"/>
  <c r="BW4" i="15"/>
  <c r="CR6" i="15"/>
  <c r="CR14" i="15" s="1"/>
  <c r="AC2" i="15"/>
  <c r="CE1" i="15"/>
  <c r="BQ4" i="15"/>
  <c r="AT2" i="15"/>
  <c r="AF5" i="15"/>
  <c r="AF13" i="15" s="1"/>
  <c r="N2" i="15"/>
  <c r="B3" i="15"/>
  <c r="B11" i="15" s="1"/>
  <c r="AT7" i="15"/>
  <c r="BH1" i="15"/>
  <c r="CO2" i="15"/>
  <c r="BE3" i="15"/>
  <c r="CT4" i="15"/>
  <c r="AJ2" i="15"/>
  <c r="AB6" i="15"/>
  <c r="A7" i="15"/>
  <c r="BV7" i="15"/>
  <c r="BF4" i="15"/>
  <c r="BF12" i="15" s="1"/>
  <c r="C1" i="15"/>
  <c r="AU6" i="15"/>
  <c r="AL5" i="15"/>
  <c r="CG4" i="15"/>
  <c r="X2" i="15"/>
  <c r="CY3" i="15"/>
  <c r="Q6" i="15"/>
  <c r="CB5" i="15"/>
  <c r="CF3" i="15"/>
  <c r="AY3" i="15"/>
  <c r="K2" i="15"/>
  <c r="AU3" i="15"/>
  <c r="AR3" i="15"/>
  <c r="DB6" i="15"/>
  <c r="AK1" i="15"/>
  <c r="BC3" i="15"/>
  <c r="AN2" i="15"/>
  <c r="AD6" i="15"/>
  <c r="BM6" i="15"/>
  <c r="BE4" i="15"/>
  <c r="CV4" i="15"/>
  <c r="AZ6" i="15"/>
  <c r="AS6" i="15"/>
  <c r="BM5" i="15"/>
  <c r="CZ1" i="15"/>
  <c r="BE7" i="15"/>
  <c r="BI6" i="15"/>
  <c r="BN5" i="15"/>
  <c r="DH5" i="15"/>
  <c r="DH13" i="15" s="1"/>
  <c r="CT1" i="15"/>
  <c r="B1" i="15"/>
  <c r="BC6" i="15"/>
  <c r="CA1" i="15"/>
  <c r="F5" i="15"/>
  <c r="X1" i="15"/>
  <c r="BB1" i="15"/>
  <c r="BR1" i="15"/>
  <c r="AX4" i="15"/>
  <c r="AX12" i="15" s="1"/>
  <c r="BA6" i="15"/>
  <c r="C6" i="15"/>
  <c r="H4" i="15"/>
  <c r="CQ3" i="15"/>
  <c r="CC1" i="15"/>
  <c r="Z2" i="15"/>
  <c r="AI4" i="15"/>
  <c r="BE6" i="15"/>
  <c r="CP7" i="15"/>
  <c r="CH6" i="15"/>
  <c r="CH14" i="15" s="1"/>
  <c r="BO3" i="15"/>
  <c r="AP1" i="15"/>
  <c r="AQ3" i="15"/>
  <c r="AG5" i="15"/>
  <c r="CV3" i="15"/>
  <c r="W2" i="15"/>
  <c r="DA1" i="15"/>
  <c r="S3" i="15"/>
  <c r="Y5" i="15"/>
  <c r="H2" i="15"/>
  <c r="K4" i="15"/>
  <c r="F1" i="15"/>
  <c r="T4" i="15"/>
  <c r="BT5" i="15"/>
  <c r="AX6" i="15"/>
  <c r="AX14" i="15" s="1"/>
  <c r="AR2" i="15"/>
  <c r="AQ7" i="15"/>
  <c r="Z6" i="15"/>
  <c r="AD1" i="15"/>
  <c r="BA5" i="15"/>
  <c r="O2" i="15"/>
  <c r="BH6" i="15"/>
  <c r="BR7" i="15"/>
  <c r="BR15" i="15" s="1"/>
  <c r="CR5" i="15"/>
  <c r="CR13" i="15" s="1"/>
  <c r="CH3" i="15"/>
  <c r="CH11" i="15" s="1"/>
  <c r="BT6" i="15"/>
  <c r="AS3" i="15"/>
  <c r="BJ3" i="15"/>
  <c r="AQ5" i="15"/>
  <c r="CW6" i="15"/>
  <c r="BS6" i="15"/>
  <c r="CG5" i="15"/>
  <c r="R6" i="15"/>
  <c r="CA7" i="15"/>
  <c r="Z3" i="15"/>
  <c r="R1" i="15"/>
  <c r="BB7" i="15"/>
  <c r="BR3" i="15"/>
  <c r="BR11" i="15" s="1"/>
  <c r="BY6" i="15"/>
  <c r="A2" i="15"/>
  <c r="Q2" i="15"/>
  <c r="AP5" i="15"/>
  <c r="CJ3" i="15"/>
  <c r="AE2" i="15"/>
  <c r="O7" i="15"/>
  <c r="CS4" i="15"/>
  <c r="CW2" i="15"/>
  <c r="BI4" i="15"/>
  <c r="AX5" i="15"/>
  <c r="AX13" i="15" s="1"/>
  <c r="O3" i="15"/>
  <c r="Z1" i="15"/>
  <c r="O4" i="15"/>
  <c r="G6" i="15"/>
  <c r="L5" i="15"/>
  <c r="E2" i="15"/>
  <c r="U1" i="15"/>
  <c r="AV5" i="15"/>
  <c r="BH5" i="15"/>
  <c r="CP6" i="15"/>
  <c r="CX5" i="15"/>
  <c r="CC2" i="15"/>
  <c r="DH3" i="15"/>
  <c r="DH11" i="15" s="1"/>
  <c r="BZ1" i="15"/>
  <c r="S4" i="15"/>
  <c r="CO5" i="15"/>
  <c r="BA3" i="15"/>
  <c r="AX3" i="15"/>
  <c r="AX11" i="15" s="1"/>
  <c r="U2" i="15"/>
  <c r="BD1" i="15"/>
  <c r="BZ2" i="15"/>
  <c r="K1" i="15"/>
  <c r="E1" i="15"/>
  <c r="BW3" i="15"/>
  <c r="G4" i="15"/>
  <c r="Q4" i="15"/>
  <c r="CQ2" i="15"/>
  <c r="BC7" i="15"/>
  <c r="AB2" i="15"/>
  <c r="Y3" i="15"/>
  <c r="BX1" i="15"/>
  <c r="AC4" i="15"/>
  <c r="DC5" i="15"/>
  <c r="DC13" i="15" s="1"/>
  <c r="AJ6" i="15"/>
  <c r="J4" i="15"/>
  <c r="AH1" i="15"/>
  <c r="AG2" i="15"/>
  <c r="CU1" i="15"/>
  <c r="A5" i="15"/>
  <c r="CI1" i="15"/>
  <c r="Y6" i="15"/>
  <c r="CJ1" i="15"/>
  <c r="BT4" i="15"/>
  <c r="F4" i="15"/>
  <c r="N1" i="15"/>
  <c r="AS4" i="15"/>
  <c r="BY3" i="15"/>
  <c r="CS5" i="15"/>
  <c r="BD6" i="15"/>
  <c r="BJ4" i="15"/>
  <c r="B7" i="15"/>
  <c r="B15" i="15" s="1"/>
  <c r="BV3" i="15"/>
  <c r="CD3" i="15"/>
  <c r="BL4" i="15"/>
  <c r="BL12" i="15" s="1"/>
  <c r="CP2" i="15"/>
  <c r="AA7" i="15"/>
  <c r="T3" i="15"/>
  <c r="CJ5" i="15"/>
  <c r="AY7" i="15"/>
  <c r="BP7" i="15"/>
  <c r="DB3" i="15"/>
  <c r="BO4" i="15"/>
  <c r="C4" i="15"/>
  <c r="AH7" i="15"/>
  <c r="CK5" i="15"/>
  <c r="X4" i="15"/>
  <c r="P1" i="15"/>
  <c r="BU4" i="15"/>
  <c r="AM3" i="15"/>
  <c r="AJ4" i="15"/>
  <c r="BV4" i="15"/>
  <c r="T5" i="15"/>
  <c r="CH7" i="15"/>
  <c r="CH15" i="15" s="1"/>
  <c r="V2" i="15"/>
  <c r="V10" i="15" s="1"/>
  <c r="BU3" i="15"/>
  <c r="BW5" i="15"/>
  <c r="G2" i="15"/>
  <c r="N7" i="15"/>
  <c r="CC3" i="15"/>
  <c r="AQ6" i="15"/>
  <c r="CA3" i="15"/>
  <c r="CK6" i="15"/>
  <c r="DB2" i="15"/>
  <c r="AB1" i="15"/>
  <c r="AM1" i="15"/>
  <c r="D3" i="15"/>
  <c r="AB5" i="15"/>
  <c r="Q3" i="15"/>
  <c r="CI4" i="15"/>
  <c r="BQ7" i="15"/>
  <c r="AE7" i="15"/>
  <c r="AI2" i="15"/>
  <c r="BS1" i="15"/>
  <c r="CD6" i="15"/>
  <c r="BG1" i="15"/>
  <c r="DA2" i="15"/>
  <c r="BX6" i="15"/>
  <c r="BX14" i="15" s="1"/>
  <c r="AL7" i="15"/>
  <c r="CU7" i="15"/>
  <c r="BM3" i="15"/>
  <c r="CI2" i="15"/>
  <c r="AM4" i="15"/>
  <c r="BY4" i="15"/>
  <c r="AV6" i="15"/>
  <c r="E5" i="15"/>
  <c r="CT7" i="15"/>
  <c r="DC7" i="15"/>
  <c r="DC15" i="15" s="1"/>
  <c r="DD15" i="15" s="1"/>
  <c r="CY1" i="15"/>
  <c r="CQ7" i="15"/>
  <c r="AV3" i="15"/>
  <c r="H1" i="15"/>
  <c r="W5" i="15"/>
  <c r="J2" i="15"/>
  <c r="CR7" i="15"/>
  <c r="CR15" i="15" s="1"/>
  <c r="BJ7" i="15"/>
  <c r="BO7" i="15"/>
  <c r="DH2" i="15"/>
  <c r="DH10" i="15" s="1"/>
  <c r="DH4" i="15"/>
  <c r="DH12" i="15" s="1"/>
  <c r="BN1" i="15"/>
  <c r="CL5" i="15"/>
  <c r="M6" i="15"/>
  <c r="AF1" i="15"/>
  <c r="X5" i="15"/>
  <c r="CK2" i="15"/>
  <c r="DA7" i="15"/>
  <c r="AA6" i="15"/>
  <c r="AN6" i="15"/>
  <c r="AH4" i="15"/>
  <c r="Q5" i="15"/>
  <c r="CM5" i="15"/>
  <c r="P4" i="15"/>
  <c r="AJ5" i="15"/>
  <c r="BY5" i="15"/>
  <c r="BZ5" i="15"/>
  <c r="F2" i="15"/>
  <c r="CV6" i="15"/>
  <c r="DA6" i="15"/>
  <c r="BA4" i="15"/>
  <c r="BQ5" i="15"/>
  <c r="BJ5" i="15"/>
  <c r="CL4" i="15"/>
  <c r="CN4" i="15"/>
  <c r="U3" i="15"/>
  <c r="AI6" i="15"/>
  <c r="BG4" i="15"/>
  <c r="AF7" i="15"/>
  <c r="AF15" i="15" s="1"/>
  <c r="AQ15" i="15" s="1"/>
  <c r="BG7" i="15"/>
  <c r="M1" i="15"/>
  <c r="D2" i="15"/>
  <c r="AW7" i="15"/>
  <c r="CF4" i="15"/>
  <c r="BY2" i="15"/>
  <c r="AT4" i="15"/>
  <c r="AT5" i="15"/>
  <c r="CZ2" i="15"/>
  <c r="CZ10" i="15" s="1"/>
  <c r="AS7" i="15"/>
  <c r="CM3" i="15"/>
  <c r="BL3" i="15"/>
  <c r="BL11" i="15" s="1"/>
  <c r="BB2" i="15"/>
  <c r="CT2" i="15"/>
  <c r="CC6" i="15"/>
  <c r="BM2" i="15"/>
  <c r="CO3" i="15"/>
  <c r="K7" i="15"/>
  <c r="D5" i="15"/>
  <c r="N4" i="15"/>
  <c r="AD3" i="15"/>
  <c r="I7" i="15"/>
  <c r="BO5" i="15"/>
  <c r="BX2" i="15"/>
  <c r="BX10" i="15" s="1"/>
  <c r="CV7" i="15"/>
  <c r="BK7" i="15"/>
  <c r="AI1" i="15"/>
  <c r="CE4" i="15"/>
  <c r="CW5" i="15"/>
  <c r="CA6" i="15"/>
  <c r="CF2" i="15"/>
  <c r="V7" i="15"/>
  <c r="G3" i="15"/>
  <c r="Y4" i="15"/>
  <c r="BQ2" i="15"/>
  <c r="AA2" i="15"/>
  <c r="AY4" i="15"/>
  <c r="CU6" i="15"/>
  <c r="CU5" i="15"/>
  <c r="BF5" i="15"/>
  <c r="BF13" i="15" s="1"/>
  <c r="AC1" i="15"/>
  <c r="BY7" i="15"/>
  <c r="BP1" i="15"/>
  <c r="DB5" i="15"/>
  <c r="CS7" i="15"/>
  <c r="U4" i="15"/>
  <c r="BC1" i="15"/>
  <c r="BF1" i="15"/>
  <c r="CG2" i="15"/>
  <c r="S1" i="15"/>
  <c r="O1" i="15"/>
  <c r="AL2" i="15"/>
  <c r="CF1" i="15"/>
  <c r="CL6" i="15"/>
  <c r="AR4" i="15"/>
  <c r="Z7" i="15"/>
  <c r="AB7" i="15"/>
  <c r="AZ7" i="15"/>
  <c r="AU5" i="15"/>
  <c r="BZ7" i="15"/>
  <c r="CB2" i="15"/>
  <c r="CN1" i="15"/>
  <c r="AB4" i="15"/>
  <c r="CB4" i="15"/>
  <c r="BC5" i="15"/>
  <c r="AV2" i="15"/>
  <c r="AY2" i="15"/>
  <c r="BV5" i="15"/>
  <c r="J1" i="15"/>
  <c r="AT6" i="15"/>
  <c r="AO2" i="15"/>
  <c r="AU4" i="15"/>
  <c r="CZ3" i="15"/>
  <c r="CZ11" i="15" s="1"/>
  <c r="DB11" i="15" s="1"/>
  <c r="AO3" i="15"/>
  <c r="CT3" i="15"/>
  <c r="H6" i="15"/>
  <c r="AC5" i="15"/>
  <c r="CA2" i="15"/>
  <c r="BN6" i="15"/>
  <c r="CF7" i="15"/>
  <c r="M5" i="15"/>
  <c r="AB3" i="15"/>
  <c r="CG3" i="15"/>
  <c r="E4" i="15"/>
  <c r="D1" i="15"/>
  <c r="BP3" i="15"/>
  <c r="BK5" i="15"/>
  <c r="AT3" i="15"/>
  <c r="BU1" i="15"/>
  <c r="BN3" i="15"/>
  <c r="W7" i="15"/>
  <c r="AG4" i="15"/>
  <c r="AG7" i="15"/>
  <c r="AI5" i="15"/>
  <c r="AH3" i="15"/>
  <c r="AZ5" i="15"/>
  <c r="W4" i="15"/>
  <c r="CJ6" i="15"/>
  <c r="DA4" i="15"/>
  <c r="AN3" i="15"/>
  <c r="BS4" i="15"/>
  <c r="CX7" i="15"/>
  <c r="AN5" i="15"/>
  <c r="AQ4" i="15"/>
  <c r="AS5" i="15"/>
  <c r="BL1" i="15"/>
  <c r="AJ7" i="15"/>
  <c r="AW1" i="15"/>
  <c r="D7" i="15"/>
  <c r="AC3" i="15"/>
  <c r="Y2" i="15"/>
  <c r="AP6" i="15"/>
  <c r="BO2" i="15"/>
  <c r="AR5" i="15"/>
  <c r="CK7" i="15"/>
  <c r="BU2" i="15"/>
  <c r="BT3" i="15"/>
  <c r="BJ6" i="15"/>
  <c r="CZ4" i="15"/>
  <c r="CZ12" i="15" s="1"/>
  <c r="AF4" i="15"/>
  <c r="AF12" i="15" s="1"/>
  <c r="AW12" i="15" s="1"/>
  <c r="A4" i="15"/>
  <c r="AI7" i="15"/>
  <c r="BR4" i="15"/>
  <c r="BR12" i="15" s="1"/>
  <c r="CK3" i="15"/>
  <c r="Q1" i="15"/>
  <c r="AV7" i="15"/>
  <c r="F7" i="15"/>
  <c r="CI3" i="15"/>
  <c r="CM4" i="15"/>
  <c r="BK6" i="15"/>
  <c r="U7" i="15"/>
  <c r="CM7" i="15"/>
  <c r="BB4" i="15"/>
  <c r="BV6" i="15"/>
  <c r="BW2" i="15"/>
  <c r="CL7" i="15"/>
  <c r="CD5" i="15"/>
  <c r="X3" i="15"/>
  <c r="BR5" i="15"/>
  <c r="BR13" i="15" s="1"/>
  <c r="BP5" i="15"/>
  <c r="BG2" i="15"/>
  <c r="DC1" i="15"/>
  <c r="X7" i="15"/>
  <c r="BX4" i="15"/>
  <c r="BX12" i="15" s="1"/>
  <c r="CQ5" i="15"/>
  <c r="CV5" i="15"/>
  <c r="W1" i="15"/>
  <c r="CK1" i="15"/>
  <c r="CE5" i="15"/>
  <c r="N6" i="15"/>
  <c r="R3" i="15"/>
  <c r="BD3" i="15"/>
  <c r="E7" i="15"/>
  <c r="AZ4" i="15"/>
  <c r="CJ2" i="15"/>
  <c r="CG1" i="15"/>
  <c r="I6" i="15"/>
  <c r="CE6" i="15"/>
  <c r="AK5" i="15"/>
  <c r="BD2" i="15"/>
  <c r="V3" i="15"/>
  <c r="V11" i="15" s="1"/>
  <c r="CW3" i="15"/>
  <c r="C5" i="15"/>
  <c r="B2" i="15"/>
  <c r="B10" i="15" s="1"/>
  <c r="I10" i="15" s="1"/>
  <c r="BT2" i="15"/>
  <c r="A1" i="15"/>
  <c r="CE3" i="15"/>
  <c r="BJ2" i="15"/>
  <c r="G1" i="15"/>
  <c r="AA5" i="15"/>
  <c r="BC2" i="15"/>
  <c r="T1" i="15"/>
  <c r="CY5" i="15"/>
  <c r="BR6" i="15"/>
  <c r="BR14" i="15" s="1"/>
  <c r="AD2" i="15"/>
  <c r="CO4" i="15"/>
  <c r="AN7" i="15"/>
  <c r="BV2" i="15"/>
  <c r="AA1" i="15"/>
  <c r="BC4" i="15"/>
  <c r="W6" i="15"/>
  <c r="BU6" i="15"/>
  <c r="DC4" i="15"/>
  <c r="DC12" i="15" s="1"/>
  <c r="CK4" i="15"/>
  <c r="CC4" i="15"/>
  <c r="CC7" i="15"/>
  <c r="J6" i="15"/>
  <c r="V6" i="15"/>
  <c r="V14" i="15" s="1"/>
  <c r="BP4" i="15"/>
  <c r="P2" i="15"/>
  <c r="BS5" i="15"/>
  <c r="CL3" i="15"/>
  <c r="AW3" i="15"/>
  <c r="U6" i="15"/>
  <c r="CX6" i="15"/>
  <c r="CX3" i="15"/>
  <c r="CW1" i="15"/>
  <c r="AG6" i="15"/>
  <c r="CZ7" i="15"/>
  <c r="CZ15" i="15" s="1"/>
  <c r="DA5" i="15"/>
  <c r="CH4" i="15"/>
  <c r="CH12" i="15" s="1"/>
  <c r="AF2" i="15"/>
  <c r="AF10" i="15" s="1"/>
  <c r="CU2" i="15"/>
  <c r="CS6" i="15"/>
  <c r="BH4" i="15"/>
  <c r="BE5" i="15"/>
  <c r="AQ1" i="15"/>
  <c r="AE1" i="15"/>
  <c r="CN3" i="15"/>
  <c r="BA7" i="15"/>
  <c r="A3" i="15"/>
  <c r="N5" i="15"/>
  <c r="BL7" i="15"/>
  <c r="BL15" i="15" s="1"/>
  <c r="BT7" i="15"/>
  <c r="BQ1" i="15"/>
  <c r="CD1" i="15"/>
  <c r="B5" i="15"/>
  <c r="B13" i="15" s="1"/>
  <c r="R13" i="15" s="1"/>
  <c r="CR3" i="15"/>
  <c r="CR11" i="15" s="1"/>
  <c r="T6" i="15"/>
  <c r="BP6" i="15"/>
  <c r="K3" i="15"/>
  <c r="AC6" i="15"/>
  <c r="BQ6" i="15"/>
  <c r="B6" i="15"/>
  <c r="B14" i="15" s="1"/>
  <c r="F14" i="15" s="1"/>
  <c r="AZ2" i="15"/>
  <c r="CZ5" i="15"/>
  <c r="CZ13" i="15" s="1"/>
  <c r="AE6" i="15"/>
  <c r="CP1" i="15"/>
  <c r="AI3" i="15"/>
  <c r="AX1" i="15"/>
  <c r="BI2" i="15"/>
  <c r="T7" i="15"/>
  <c r="L1" i="15"/>
  <c r="AP3" i="15"/>
  <c r="BK3" i="15"/>
  <c r="E3" i="15"/>
  <c r="AO4" i="15"/>
  <c r="E6" i="15"/>
  <c r="AY5" i="15"/>
  <c r="DC6" i="15"/>
  <c r="DC14" i="15" s="1"/>
  <c r="DG14" i="15" s="1"/>
  <c r="CO6" i="15"/>
  <c r="CW4" i="15"/>
  <c r="AH5" i="15"/>
  <c r="BE1" i="15"/>
  <c r="BO6" i="15"/>
  <c r="BD7" i="15"/>
  <c r="L4" i="15"/>
  <c r="N3" i="15"/>
  <c r="AO7" i="15"/>
  <c r="BN7" i="15"/>
  <c r="AG1" i="15"/>
  <c r="Y1" i="15"/>
  <c r="D4" i="15"/>
  <c r="DA3" i="15"/>
  <c r="DB4" i="15"/>
  <c r="CY4" i="15"/>
  <c r="BB5" i="15"/>
  <c r="L6" i="15"/>
  <c r="AQ2" i="15"/>
  <c r="M4" i="15"/>
  <c r="CT6" i="15"/>
  <c r="BN4" i="15"/>
  <c r="DC2" i="15"/>
  <c r="DC10" i="15" s="1"/>
  <c r="DG10" i="15" s="1"/>
  <c r="R5" i="15"/>
  <c r="G5" i="15"/>
  <c r="AE4" i="15"/>
  <c r="CR4" i="15"/>
  <c r="CR12" i="15" s="1"/>
  <c r="CY12" i="15" s="1"/>
  <c r="CT5" i="15"/>
  <c r="AN1" i="15"/>
  <c r="CX1" i="15"/>
  <c r="CL1" i="15"/>
  <c r="B4" i="15"/>
  <c r="B12" i="15" s="1"/>
  <c r="H3" i="15"/>
  <c r="BX7" i="15"/>
  <c r="BX15" i="15" s="1"/>
  <c r="CL2" i="15"/>
  <c r="CO7" i="15"/>
  <c r="CM6" i="15"/>
  <c r="AG3" i="15"/>
  <c r="BA1" i="15"/>
  <c r="AW2" i="15"/>
  <c r="CB3" i="15"/>
  <c r="BU5" i="15"/>
  <c r="M2" i="15"/>
  <c r="BH7" i="15"/>
  <c r="C7" i="15"/>
  <c r="AY6" i="15"/>
  <c r="CD7" i="15"/>
  <c r="K6" i="15"/>
  <c r="AE3" i="15"/>
  <c r="AH2" i="15"/>
  <c r="AV4" i="15"/>
  <c r="Z4" i="15"/>
  <c r="CS1" i="15"/>
  <c r="DB1" i="15"/>
  <c r="CS2" i="15"/>
  <c r="DB7" i="15"/>
  <c r="BG5" i="15"/>
  <c r="BW1" i="15"/>
  <c r="CW7" i="15"/>
  <c r="BS7" i="15"/>
  <c r="F6" i="15"/>
  <c r="R2" i="15"/>
  <c r="AK7" i="15"/>
  <c r="AD4" i="15"/>
  <c r="BG3" i="15"/>
  <c r="CU4" i="15"/>
  <c r="X6" i="15"/>
  <c r="AU1" i="15"/>
  <c r="BH2" i="15"/>
  <c r="AF3" i="15"/>
  <c r="AF11" i="15" s="1"/>
  <c r="P6" i="15"/>
  <c r="R4" i="15"/>
  <c r="BI1" i="15"/>
  <c r="CP3" i="15"/>
  <c r="AP4" i="15"/>
  <c r="AR1" i="15"/>
  <c r="AK4" i="15"/>
  <c r="CU3" i="15"/>
  <c r="AN4" i="15"/>
  <c r="AK2" i="15"/>
  <c r="K5" i="15"/>
  <c r="L2" i="15"/>
  <c r="P7" i="15"/>
  <c r="BM4" i="15"/>
  <c r="I4" i="15"/>
  <c r="T2" i="15"/>
  <c r="V4" i="15"/>
  <c r="V12" i="15" s="1"/>
  <c r="I1" i="15"/>
  <c r="BW6" i="15"/>
  <c r="CS3" i="15"/>
  <c r="CR2" i="15"/>
  <c r="CR10" i="15" s="1"/>
  <c r="BM7" i="15"/>
  <c r="Y7" i="15"/>
  <c r="AZ3" i="15"/>
  <c r="BK4" i="15"/>
  <c r="CC5" i="15"/>
  <c r="AY1" i="15"/>
  <c r="AD7" i="15"/>
  <c r="S7" i="15"/>
  <c r="CF6" i="15"/>
  <c r="S5" i="15"/>
  <c r="CQ6" i="15"/>
  <c r="BF2" i="15"/>
  <c r="BF10" i="15" s="1"/>
  <c r="AZ10" i="15" s="1"/>
  <c r="AM5" i="15"/>
  <c r="AU2" i="15"/>
  <c r="BX3" i="15"/>
  <c r="BX11" i="15" s="1"/>
  <c r="CG11" i="15" s="1"/>
  <c r="AR6" i="15"/>
  <c r="S6" i="15"/>
  <c r="CI7" i="15"/>
  <c r="CF13" i="15"/>
  <c r="BD15" i="15"/>
  <c r="BC15" i="15"/>
  <c r="AD13" i="15" l="1"/>
  <c r="AY15" i="15"/>
  <c r="CC15" i="15"/>
  <c r="AW10" i="15"/>
  <c r="BN14" i="15"/>
  <c r="BA15" i="15"/>
  <c r="CT10" i="15"/>
  <c r="CF14" i="15"/>
  <c r="BE12" i="15"/>
  <c r="DG11" i="15"/>
  <c r="DF11" i="15"/>
  <c r="DG13" i="15"/>
  <c r="G13" i="15"/>
  <c r="CU13" i="15"/>
  <c r="CB13" i="15"/>
  <c r="BM10" i="15"/>
  <c r="CP13" i="15"/>
  <c r="BZ13" i="15"/>
  <c r="CG13" i="15"/>
  <c r="CC13" i="15"/>
  <c r="BN10" i="15"/>
  <c r="BQ10" i="15"/>
  <c r="BG15" i="15"/>
  <c r="CI13" i="15"/>
  <c r="AV13" i="15"/>
  <c r="AB13" i="15"/>
  <c r="CA13" i="15"/>
  <c r="CB11" i="15"/>
  <c r="CD13" i="15"/>
  <c r="BY13" i="15"/>
  <c r="CK13" i="15"/>
  <c r="AS13" i="15"/>
  <c r="CD15" i="15"/>
  <c r="BM14" i="15"/>
  <c r="AE13" i="15"/>
  <c r="CG14" i="15"/>
  <c r="CO13" i="15"/>
  <c r="AK13" i="15"/>
  <c r="CW13" i="15"/>
  <c r="Z13" i="15"/>
  <c r="W13" i="15"/>
  <c r="DG15" i="15"/>
  <c r="CL13" i="15"/>
  <c r="CM13" i="15"/>
  <c r="BK14" i="15"/>
  <c r="AA13" i="15"/>
  <c r="AC13" i="15"/>
  <c r="H13" i="15"/>
  <c r="CN13" i="15"/>
  <c r="BH14" i="15"/>
  <c r="AN13" i="15"/>
  <c r="X14" i="15"/>
  <c r="D15" i="15"/>
  <c r="CB10" i="15"/>
  <c r="AB10" i="15"/>
  <c r="AS14" i="15"/>
  <c r="CD11" i="15"/>
  <c r="CS13" i="15"/>
  <c r="BO10" i="15"/>
  <c r="X13" i="15"/>
  <c r="DE15" i="15"/>
  <c r="CA11" i="15"/>
  <c r="CV13" i="15"/>
  <c r="BP10" i="15"/>
  <c r="Y13" i="15"/>
  <c r="CE13" i="15"/>
  <c r="DF15" i="15"/>
  <c r="J13" i="15"/>
  <c r="CQ13" i="15"/>
  <c r="AM13" i="15"/>
  <c r="L13" i="15"/>
  <c r="S13" i="15"/>
  <c r="BY14" i="15"/>
  <c r="AY12" i="15"/>
  <c r="AQ13" i="15"/>
  <c r="T13" i="15"/>
  <c r="U13" i="15"/>
  <c r="F13" i="15"/>
  <c r="Q13" i="15"/>
  <c r="N13" i="15"/>
  <c r="G11" i="15"/>
  <c r="I12" i="15"/>
  <c r="CE12" i="15"/>
  <c r="BG11" i="15"/>
  <c r="BG12" i="15"/>
  <c r="BC11" i="15"/>
  <c r="CN14" i="15"/>
  <c r="K13" i="15"/>
  <c r="O13" i="15"/>
  <c r="DA11" i="15"/>
  <c r="CE14" i="15"/>
  <c r="DD11" i="15"/>
  <c r="BJ15" i="15"/>
  <c r="P13" i="15"/>
  <c r="M13" i="15"/>
  <c r="E13" i="15"/>
  <c r="D13" i="15"/>
  <c r="C13" i="15"/>
  <c r="I13" i="15"/>
  <c r="CJ13" i="15"/>
  <c r="Z11" i="15"/>
  <c r="CG15" i="15"/>
  <c r="CX13" i="15"/>
  <c r="CW11" i="15"/>
  <c r="AO13" i="15"/>
  <c r="AO12" i="15"/>
  <c r="CI11" i="15"/>
  <c r="AI14" i="15"/>
  <c r="O10" i="15"/>
  <c r="S14" i="15"/>
  <c r="AJ11" i="15"/>
  <c r="CE11" i="15"/>
  <c r="CS14" i="15"/>
  <c r="BN11" i="15"/>
  <c r="AJ10" i="15"/>
  <c r="W11" i="15"/>
  <c r="U14" i="15"/>
  <c r="BU10" i="15"/>
  <c r="AG15" i="15"/>
  <c r="BS14" i="15"/>
  <c r="CJ11" i="15"/>
  <c r="BC14" i="15"/>
  <c r="BZ15" i="15"/>
  <c r="CF11" i="15"/>
  <c r="BZ11" i="15"/>
  <c r="CY13" i="15"/>
  <c r="CK11" i="15"/>
  <c r="BY11" i="15"/>
  <c r="DA13" i="15"/>
  <c r="X11" i="15"/>
  <c r="CU11" i="15"/>
  <c r="AR11" i="15"/>
  <c r="CC11" i="15"/>
  <c r="BP14" i="15"/>
  <c r="CT13" i="15"/>
  <c r="AQ10" i="15"/>
  <c r="AB11" i="15"/>
  <c r="CY11" i="15"/>
  <c r="P11" i="15"/>
  <c r="AY13" i="15"/>
  <c r="AH13" i="15"/>
  <c r="AG13" i="15"/>
  <c r="AP13" i="15"/>
  <c r="W14" i="15"/>
  <c r="DE12" i="15"/>
  <c r="CT15" i="15"/>
  <c r="BQ13" i="15"/>
  <c r="AV10" i="15"/>
  <c r="AE11" i="15"/>
  <c r="CS11" i="15"/>
  <c r="CO11" i="15"/>
  <c r="DF13" i="15"/>
  <c r="BA12" i="15"/>
  <c r="F11" i="15"/>
  <c r="BI14" i="15"/>
  <c r="AG10" i="15"/>
  <c r="BI15" i="15"/>
  <c r="CN11" i="15"/>
  <c r="R12" i="15"/>
  <c r="D12" i="15"/>
  <c r="DB14" i="15"/>
  <c r="DD14" i="15"/>
  <c r="DE14" i="15"/>
  <c r="G10" i="15"/>
  <c r="E10" i="15"/>
  <c r="D10" i="15"/>
  <c r="L10" i="15"/>
  <c r="H10" i="15"/>
  <c r="J10" i="15"/>
  <c r="R10" i="15"/>
  <c r="U10" i="15"/>
  <c r="S10" i="15"/>
  <c r="CB12" i="15"/>
  <c r="CA12" i="15"/>
  <c r="BZ12" i="15"/>
  <c r="BY12" i="15"/>
  <c r="CF12" i="15"/>
  <c r="AJ12" i="15"/>
  <c r="AL12" i="15"/>
  <c r="AN12" i="15"/>
  <c r="AQ12" i="15"/>
  <c r="AK12" i="15"/>
  <c r="AV12" i="15"/>
  <c r="AI12" i="15"/>
  <c r="AP12" i="15"/>
  <c r="BB13" i="15"/>
  <c r="BH13" i="15"/>
  <c r="BK13" i="15"/>
  <c r="BG13" i="15"/>
  <c r="V15" i="15"/>
  <c r="U15" i="15"/>
  <c r="O15" i="15"/>
  <c r="C15" i="15"/>
  <c r="J15" i="15"/>
  <c r="P15" i="15"/>
  <c r="BV10" i="15"/>
  <c r="BZ10" i="15"/>
  <c r="CG10" i="15"/>
  <c r="CA10" i="15"/>
  <c r="BT10" i="15"/>
  <c r="CC10" i="15"/>
  <c r="CE10" i="15"/>
  <c r="BI11" i="15"/>
  <c r="BO11" i="15"/>
  <c r="BM11" i="15"/>
  <c r="AU15" i="15"/>
  <c r="AK15" i="15"/>
  <c r="AP15" i="15"/>
  <c r="AL15" i="15"/>
  <c r="AJ15" i="15"/>
  <c r="AR15" i="15"/>
  <c r="AO15" i="15"/>
  <c r="AI15" i="15"/>
  <c r="X10" i="15"/>
  <c r="AD10" i="15"/>
  <c r="BJ12" i="15"/>
  <c r="BN12" i="15"/>
  <c r="BI12" i="15"/>
  <c r="BA11" i="15"/>
  <c r="BD11" i="15"/>
  <c r="AW11" i="15"/>
  <c r="AN11" i="15"/>
  <c r="AT11" i="15"/>
  <c r="AV11" i="15"/>
  <c r="AK11" i="15"/>
  <c r="AQ11" i="15"/>
  <c r="AY11" i="15"/>
  <c r="AI11" i="15"/>
  <c r="AG11" i="15"/>
  <c r="AL11" i="15"/>
  <c r="BW15" i="15"/>
  <c r="BU15" i="15"/>
  <c r="BN15" i="15"/>
  <c r="AY14" i="15"/>
  <c r="AG14" i="15"/>
  <c r="AW14" i="15"/>
  <c r="AR14" i="15"/>
  <c r="AM14" i="15"/>
  <c r="AK14" i="15"/>
  <c r="AN14" i="15"/>
  <c r="AH14" i="15"/>
  <c r="BD14" i="15"/>
  <c r="BA14" i="15"/>
  <c r="AL14" i="15"/>
  <c r="AU14" i="15"/>
  <c r="CM14" i="15"/>
  <c r="CJ14" i="15"/>
  <c r="CX14" i="15"/>
  <c r="CT14" i="15"/>
  <c r="CO14" i="15"/>
  <c r="CK14" i="15"/>
  <c r="CL14" i="15"/>
  <c r="CW14" i="15"/>
  <c r="CY14" i="15"/>
  <c r="DA14" i="15"/>
  <c r="AP14" i="15"/>
  <c r="AS11" i="15"/>
  <c r="CI14" i="15"/>
  <c r="BP11" i="15"/>
  <c r="AD14" i="15"/>
  <c r="P10" i="15"/>
  <c r="T10" i="15"/>
  <c r="K10" i="15"/>
  <c r="CD12" i="15"/>
  <c r="AG12" i="15"/>
  <c r="AT12" i="15"/>
  <c r="CF10" i="15"/>
  <c r="N14" i="15"/>
  <c r="AC10" i="15"/>
  <c r="BE11" i="15"/>
  <c r="BW10" i="15"/>
  <c r="DF14" i="15"/>
  <c r="AW15" i="15"/>
  <c r="AH15" i="15"/>
  <c r="CI15" i="15"/>
  <c r="I15" i="15"/>
  <c r="CQ10" i="15"/>
  <c r="CX10" i="15"/>
  <c r="Y12" i="15"/>
  <c r="CQ12" i="15"/>
  <c r="CV12" i="15"/>
  <c r="CW15" i="15"/>
  <c r="DF12" i="15"/>
  <c r="C14" i="15"/>
  <c r="R14" i="15"/>
  <c r="K14" i="15"/>
  <c r="T14" i="15"/>
  <c r="L14" i="15"/>
  <c r="D14" i="15"/>
  <c r="I14" i="15"/>
  <c r="H14" i="15"/>
  <c r="G14" i="15"/>
  <c r="CU14" i="15"/>
  <c r="BE14" i="15"/>
  <c r="AV14" i="15"/>
  <c r="AP11" i="15"/>
  <c r="W12" i="15"/>
  <c r="BJ13" i="15"/>
  <c r="BK12" i="15"/>
  <c r="CV14" i="15"/>
  <c r="AZ14" i="15"/>
  <c r="CP14" i="15"/>
  <c r="BQ11" i="15"/>
  <c r="M10" i="15"/>
  <c r="F10" i="15"/>
  <c r="N10" i="15"/>
  <c r="CG12" i="15"/>
  <c r="AR12" i="15"/>
  <c r="AH12" i="15"/>
  <c r="CD10" i="15"/>
  <c r="Q14" i="15"/>
  <c r="M14" i="15"/>
  <c r="O14" i="15"/>
  <c r="AZ11" i="15"/>
  <c r="AS15" i="15"/>
  <c r="AV15" i="15"/>
  <c r="AN15" i="15"/>
  <c r="CK15" i="15"/>
  <c r="K15" i="15"/>
  <c r="AE14" i="15"/>
  <c r="Y14" i="15"/>
  <c r="AC14" i="15"/>
  <c r="AB14" i="15"/>
  <c r="AA14" i="15"/>
  <c r="AO14" i="15"/>
  <c r="P12" i="15"/>
  <c r="AH11" i="15"/>
  <c r="BI13" i="15"/>
  <c r="AQ14" i="15"/>
  <c r="AM11" i="15"/>
  <c r="AT14" i="15"/>
  <c r="AJ14" i="15"/>
  <c r="U12" i="15"/>
  <c r="AO11" i="15"/>
  <c r="AU11" i="15"/>
  <c r="BH12" i="15"/>
  <c r="BB14" i="15"/>
  <c r="CQ14" i="15"/>
  <c r="Z14" i="15"/>
  <c r="Q10" i="15"/>
  <c r="C10" i="15"/>
  <c r="CC12" i="15"/>
  <c r="BW12" i="15"/>
  <c r="AU12" i="15"/>
  <c r="AS12" i="15"/>
  <c r="BY10" i="15"/>
  <c r="J14" i="15"/>
  <c r="E14" i="15"/>
  <c r="P14" i="15"/>
  <c r="AA10" i="15"/>
  <c r="BB11" i="15"/>
  <c r="BS10" i="15"/>
  <c r="AT15" i="15"/>
  <c r="AM15" i="15"/>
  <c r="BK11" i="15"/>
  <c r="BE13" i="15"/>
  <c r="M15" i="15"/>
  <c r="BT15" i="15"/>
  <c r="BO13" i="15"/>
  <c r="CJ15" i="15"/>
  <c r="BV11" i="15"/>
  <c r="CB15" i="15"/>
  <c r="BB15" i="15"/>
  <c r="AZ15" i="15"/>
  <c r="BO14" i="15"/>
  <c r="BK15" i="15"/>
  <c r="DB13" i="15"/>
  <c r="AM10" i="15"/>
  <c r="AT10" i="15"/>
  <c r="AI10" i="15"/>
  <c r="BW14" i="15"/>
  <c r="CA14" i="15"/>
  <c r="BU11" i="15"/>
  <c r="N11" i="15"/>
  <c r="CL15" i="15"/>
  <c r="CN15" i="15"/>
  <c r="BC12" i="15"/>
  <c r="BS15" i="15"/>
  <c r="W10" i="15"/>
  <c r="BT14" i="15"/>
  <c r="CQ11" i="15"/>
  <c r="BJ11" i="15"/>
  <c r="BO12" i="15"/>
  <c r="CF15" i="15"/>
  <c r="CE15" i="15"/>
  <c r="CA15" i="15"/>
  <c r="BY15" i="15"/>
  <c r="BQ14" i="15"/>
  <c r="BH15" i="15"/>
  <c r="AN10" i="15"/>
  <c r="BW13" i="15"/>
  <c r="CC14" i="15"/>
  <c r="BT11" i="15"/>
  <c r="T11" i="15"/>
  <c r="BJ14" i="15"/>
  <c r="DD13" i="15"/>
  <c r="CM15" i="15"/>
  <c r="BB12" i="15"/>
  <c r="BM15" i="15"/>
  <c r="Q15" i="15"/>
  <c r="CP10" i="15"/>
  <c r="AS10" i="15"/>
  <c r="AL10" i="15"/>
  <c r="AH10" i="15"/>
  <c r="AU10" i="15"/>
  <c r="CM12" i="15"/>
  <c r="BV14" i="15"/>
  <c r="BU14" i="15"/>
  <c r="AC11" i="15"/>
  <c r="AD11" i="15"/>
  <c r="AA11" i="15"/>
  <c r="BS12" i="15"/>
  <c r="CV15" i="15"/>
  <c r="BZ14" i="15"/>
  <c r="CB14" i="15"/>
  <c r="CX11" i="15"/>
  <c r="CV11" i="15"/>
  <c r="Z10" i="15"/>
  <c r="Y10" i="15"/>
  <c r="BS11" i="15"/>
  <c r="BW11" i="15"/>
  <c r="CL11" i="15"/>
  <c r="CP11" i="15"/>
  <c r="H11" i="15"/>
  <c r="J11" i="15"/>
  <c r="R11" i="15"/>
  <c r="BG14" i="15"/>
  <c r="DE13" i="15"/>
  <c r="BH11" i="15"/>
  <c r="CP15" i="15"/>
  <c r="CO15" i="15"/>
  <c r="BA13" i="15"/>
  <c r="BC13" i="15"/>
  <c r="BM12" i="15"/>
  <c r="DE11" i="15"/>
  <c r="BV15" i="15"/>
  <c r="AW13" i="15"/>
  <c r="AR13" i="15"/>
  <c r="AI13" i="15"/>
  <c r="AU13" i="15"/>
  <c r="AZ12" i="15"/>
  <c r="DA10" i="15"/>
  <c r="AE12" i="15"/>
  <c r="BG10" i="15"/>
  <c r="CM10" i="15"/>
  <c r="AO10" i="15"/>
  <c r="AK10" i="15"/>
  <c r="AR10" i="15"/>
  <c r="AP10" i="15"/>
  <c r="Y11" i="15"/>
  <c r="AM12" i="15"/>
  <c r="CD14" i="15"/>
  <c r="CT11" i="15"/>
  <c r="AE10" i="15"/>
  <c r="CM11" i="15"/>
  <c r="U11" i="15"/>
  <c r="S11" i="15"/>
  <c r="CQ15" i="15"/>
  <c r="BD13" i="15"/>
  <c r="AZ13" i="15"/>
  <c r="AJ13" i="15"/>
  <c r="AT13" i="15"/>
  <c r="AL13" i="15"/>
  <c r="BD12" i="15"/>
  <c r="BO15" i="15"/>
  <c r="CO12" i="15"/>
  <c r="DB10" i="15"/>
  <c r="DB12" i="15"/>
  <c r="D11" i="15"/>
  <c r="L11" i="15"/>
  <c r="E11" i="15"/>
  <c r="M11" i="15"/>
  <c r="BQ15" i="15"/>
  <c r="BP15" i="15"/>
  <c r="H15" i="15"/>
  <c r="T15" i="15"/>
  <c r="F15" i="15"/>
  <c r="R15" i="15"/>
  <c r="L15" i="15"/>
  <c r="K11" i="15"/>
  <c r="Q11" i="15"/>
  <c r="C11" i="15"/>
  <c r="O11" i="15"/>
  <c r="I11" i="15"/>
  <c r="G15" i="15"/>
  <c r="S15" i="15"/>
  <c r="N15" i="15"/>
  <c r="E15" i="15"/>
  <c r="BD10" i="15"/>
  <c r="BC10" i="15"/>
  <c r="CW12" i="15"/>
  <c r="CX12" i="15"/>
  <c r="N12" i="15"/>
  <c r="J12" i="15"/>
  <c r="T12" i="15"/>
  <c r="Q12" i="15"/>
  <c r="Z12" i="15"/>
  <c r="AB12" i="15"/>
  <c r="CW10" i="15"/>
  <c r="CU10" i="15"/>
  <c r="BH10" i="15"/>
  <c r="CK10" i="15"/>
  <c r="CJ10" i="15"/>
  <c r="CP12" i="15"/>
  <c r="CL12" i="15"/>
  <c r="CI12" i="15"/>
  <c r="DG12" i="15"/>
  <c r="BT13" i="15"/>
  <c r="BV12" i="15"/>
  <c r="DF10" i="15"/>
  <c r="CU15" i="15"/>
  <c r="CY15" i="15"/>
  <c r="BM13" i="15"/>
  <c r="BN13" i="15"/>
  <c r="BQ12" i="15"/>
  <c r="BA10" i="15"/>
  <c r="CU12" i="15"/>
  <c r="C12" i="15"/>
  <c r="H12" i="15"/>
  <c r="E12" i="15"/>
  <c r="S12" i="15"/>
  <c r="G12" i="15"/>
  <c r="AD12" i="15"/>
  <c r="X12" i="15"/>
  <c r="CY10" i="15"/>
  <c r="CV10" i="15"/>
  <c r="BI10" i="15"/>
  <c r="CO10" i="15"/>
  <c r="CL10" i="15"/>
  <c r="CN10" i="15"/>
  <c r="CN12" i="15"/>
  <c r="CJ12" i="15"/>
  <c r="DA15" i="15"/>
  <c r="DD12" i="15"/>
  <c r="BU13" i="15"/>
  <c r="BT12" i="15"/>
  <c r="DA12" i="15"/>
  <c r="DD10" i="15"/>
  <c r="CS15" i="15"/>
  <c r="CX15" i="15"/>
  <c r="BP13" i="15"/>
  <c r="BP12" i="15"/>
  <c r="BB10" i="15"/>
  <c r="BE10" i="15"/>
  <c r="CT12" i="15"/>
  <c r="CS12" i="15"/>
  <c r="K12" i="15"/>
  <c r="F12" i="15"/>
  <c r="L12" i="15"/>
  <c r="M12" i="15"/>
  <c r="O12" i="15"/>
  <c r="AA12" i="15"/>
  <c r="AC12" i="15"/>
  <c r="CS10" i="15"/>
  <c r="BK10" i="15"/>
  <c r="BJ10" i="15"/>
  <c r="CI10" i="15"/>
  <c r="CK12" i="15"/>
  <c r="DB15" i="15"/>
  <c r="BV13" i="15"/>
  <c r="BS13" i="15"/>
  <c r="BU12" i="15"/>
  <c r="DE10" i="15"/>
  <c r="AY10" i="15"/>
  <c r="AC15" i="15" l="1"/>
  <c r="AB15" i="15"/>
  <c r="AD15" i="15"/>
  <c r="X15" i="15"/>
  <c r="Y15" i="15"/>
  <c r="W15" i="15"/>
  <c r="AE15" i="15"/>
  <c r="Z15" i="15"/>
  <c r="AA1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Braibant Michel</author>
  </authors>
  <commentList>
    <comment ref="F7" authorId="0" shapeId="0" xr:uid="{00000000-0006-0000-0100-000001000000}">
      <text>
        <r>
          <rPr>
            <b/>
            <sz val="8"/>
            <color indexed="81"/>
            <rFont val="Tahoma"/>
            <family val="2"/>
          </rPr>
          <t>Braibant Michel:</t>
        </r>
        <r>
          <rPr>
            <sz val="8"/>
            <color indexed="81"/>
            <rFont val="Tahoma"/>
            <family val="2"/>
          </rPr>
          <t xml:space="preserve">
v</t>
        </r>
      </text>
    </comment>
    <comment ref="B15" authorId="0" shapeId="0" xr:uid="{00000000-0006-0000-0100-000002000000}">
      <text>
        <r>
          <rPr>
            <b/>
            <sz val="8"/>
            <color indexed="81"/>
            <rFont val="Tahoma"/>
            <family val="2"/>
          </rPr>
          <t>Braibant Michel:</t>
        </r>
        <r>
          <rPr>
            <sz val="8"/>
            <color indexed="81"/>
            <rFont val="Tahoma"/>
            <family val="2"/>
          </rPr>
          <t xml:space="preserve">
v</t>
        </r>
      </text>
    </comment>
    <comment ref="C15" authorId="0" shapeId="0" xr:uid="{00000000-0006-0000-0100-000003000000}">
      <text>
        <r>
          <rPr>
            <b/>
            <sz val="8"/>
            <color indexed="81"/>
            <rFont val="Tahoma"/>
            <family val="2"/>
          </rPr>
          <t>Braibant Michel:</t>
        </r>
        <r>
          <rPr>
            <sz val="8"/>
            <color indexed="81"/>
            <rFont val="Tahoma"/>
            <family val="2"/>
          </rPr>
          <t xml:space="preserve">
v</t>
        </r>
      </text>
    </comment>
    <comment ref="D15" authorId="0" shapeId="0" xr:uid="{00000000-0006-0000-0100-000004000000}">
      <text>
        <r>
          <rPr>
            <b/>
            <sz val="8"/>
            <color indexed="81"/>
            <rFont val="Tahoma"/>
            <family val="2"/>
          </rPr>
          <t>Braibant Michel:</t>
        </r>
        <r>
          <rPr>
            <sz val="8"/>
            <color indexed="81"/>
            <rFont val="Tahoma"/>
            <family val="2"/>
          </rPr>
          <t xml:space="preserve">
v</t>
        </r>
      </text>
    </comment>
    <comment ref="E15" authorId="0" shapeId="0" xr:uid="{00000000-0006-0000-0100-000005000000}">
      <text>
        <r>
          <rPr>
            <b/>
            <sz val="8"/>
            <color indexed="81"/>
            <rFont val="Tahoma"/>
            <family val="2"/>
          </rPr>
          <t>Braibant Michel:</t>
        </r>
        <r>
          <rPr>
            <sz val="8"/>
            <color indexed="81"/>
            <rFont val="Tahoma"/>
            <family val="2"/>
          </rPr>
          <t xml:space="preserve">
v</t>
        </r>
      </text>
    </comment>
    <comment ref="F15" authorId="0" shapeId="0" xr:uid="{00000000-0006-0000-0100-000006000000}">
      <text>
        <r>
          <rPr>
            <b/>
            <sz val="8"/>
            <color indexed="81"/>
            <rFont val="Tahoma"/>
            <family val="2"/>
          </rPr>
          <t>Braibant Michel:</t>
        </r>
        <r>
          <rPr>
            <sz val="8"/>
            <color indexed="81"/>
            <rFont val="Tahoma"/>
            <family val="2"/>
          </rPr>
          <t xml:space="preserve">
v</t>
        </r>
      </text>
    </comment>
    <comment ref="F16" authorId="0" shapeId="0" xr:uid="{00000000-0006-0000-0100-000007000000}">
      <text>
        <r>
          <rPr>
            <b/>
            <sz val="8"/>
            <color indexed="81"/>
            <rFont val="Tahoma"/>
            <family val="2"/>
          </rPr>
          <t>Braibant Michel:</t>
        </r>
        <r>
          <rPr>
            <sz val="8"/>
            <color indexed="81"/>
            <rFont val="Tahoma"/>
            <family val="2"/>
          </rPr>
          <t xml:space="preserve">
v
</t>
        </r>
      </text>
    </comment>
    <comment ref="F19" authorId="0" shapeId="0" xr:uid="{00000000-0006-0000-0100-000008000000}">
      <text>
        <r>
          <rPr>
            <b/>
            <sz val="8"/>
            <color indexed="81"/>
            <rFont val="Tahoma"/>
            <family val="2"/>
          </rPr>
          <t>Braibant Michel:</t>
        </r>
        <r>
          <rPr>
            <sz val="8"/>
            <color indexed="81"/>
            <rFont val="Tahoma"/>
            <family val="2"/>
          </rPr>
          <t xml:space="preserve">
v</t>
        </r>
      </text>
    </comment>
    <comment ref="F20" authorId="0" shapeId="0" xr:uid="{00000000-0006-0000-0100-000009000000}">
      <text>
        <r>
          <rPr>
            <b/>
            <sz val="8"/>
            <color indexed="81"/>
            <rFont val="Tahoma"/>
            <family val="2"/>
          </rPr>
          <t>Braibant Michel:</t>
        </r>
        <r>
          <rPr>
            <sz val="8"/>
            <color indexed="81"/>
            <rFont val="Tahoma"/>
            <family val="2"/>
          </rPr>
          <t xml:space="preserve">
v</t>
        </r>
      </text>
    </comment>
    <comment ref="F30" authorId="0" shapeId="0" xr:uid="{00000000-0006-0000-0100-00000A000000}">
      <text>
        <r>
          <rPr>
            <b/>
            <sz val="8"/>
            <color indexed="81"/>
            <rFont val="Tahoma"/>
            <family val="2"/>
          </rPr>
          <t>Braibant Michel:</t>
        </r>
        <r>
          <rPr>
            <sz val="8"/>
            <color indexed="81"/>
            <rFont val="Tahoma"/>
            <family val="2"/>
          </rPr>
          <t xml:space="preserve">
v
</t>
        </r>
      </text>
    </comment>
    <comment ref="F38" authorId="0" shapeId="0" xr:uid="{00000000-0006-0000-0100-00000B000000}">
      <text>
        <r>
          <rPr>
            <b/>
            <sz val="8"/>
            <color indexed="81"/>
            <rFont val="Tahoma"/>
            <family val="2"/>
          </rPr>
          <t>Braibant Michel:</t>
        </r>
        <r>
          <rPr>
            <sz val="8"/>
            <color indexed="81"/>
            <rFont val="Tahoma"/>
            <family val="2"/>
          </rPr>
          <t xml:space="preserve">
V</t>
        </r>
      </text>
    </comment>
    <comment ref="F48" authorId="0" shapeId="0" xr:uid="{00000000-0006-0000-0100-00000C000000}">
      <text>
        <r>
          <rPr>
            <b/>
            <sz val="8"/>
            <color indexed="81"/>
            <rFont val="Tahoma"/>
            <family val="2"/>
          </rPr>
          <t>Braibant Michel:</t>
        </r>
        <r>
          <rPr>
            <sz val="8"/>
            <color indexed="81"/>
            <rFont val="Tahoma"/>
            <family val="2"/>
          </rPr>
          <t xml:space="preserve">
v</t>
        </r>
      </text>
    </comment>
    <comment ref="F53" authorId="0" shapeId="0" xr:uid="{00000000-0006-0000-0100-00000D000000}">
      <text>
        <r>
          <rPr>
            <b/>
            <sz val="8"/>
            <color indexed="81"/>
            <rFont val="Tahoma"/>
            <family val="2"/>
          </rPr>
          <t>Braibant Michel:</t>
        </r>
        <r>
          <rPr>
            <sz val="8"/>
            <color indexed="81"/>
            <rFont val="Tahoma"/>
            <family val="2"/>
          </rPr>
          <t xml:space="preserve">
v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Braibant Michel</author>
  </authors>
  <commentList>
    <comment ref="E9" authorId="0" shapeId="0" xr:uid="{00000000-0006-0000-0400-000001000000}">
      <text>
        <r>
          <rPr>
            <b/>
            <sz val="8"/>
            <color indexed="81"/>
            <rFont val="Tahoma"/>
            <family val="2"/>
          </rPr>
          <t>Braibant Michel:</t>
        </r>
        <r>
          <rPr>
            <sz val="8"/>
            <color indexed="81"/>
            <rFont val="Tahoma"/>
            <family val="2"/>
          </rPr>
          <t xml:space="preserve">
v</t>
        </r>
      </text>
    </comment>
    <comment ref="E13" authorId="0" shapeId="0" xr:uid="{00000000-0006-0000-0400-000002000000}">
      <text>
        <r>
          <rPr>
            <b/>
            <sz val="8"/>
            <color indexed="81"/>
            <rFont val="Tahoma"/>
            <family val="2"/>
          </rPr>
          <t>Braibant Michel:</t>
        </r>
        <r>
          <rPr>
            <sz val="8"/>
            <color indexed="81"/>
            <rFont val="Tahoma"/>
            <family val="2"/>
          </rPr>
          <t xml:space="preserve">
v</t>
        </r>
      </text>
    </comment>
    <comment ref="E14" authorId="0" shapeId="0" xr:uid="{00000000-0006-0000-0400-000003000000}">
      <text>
        <r>
          <rPr>
            <b/>
            <sz val="8"/>
            <color indexed="81"/>
            <rFont val="Tahoma"/>
            <family val="2"/>
          </rPr>
          <t>Braibant Michel:</t>
        </r>
        <r>
          <rPr>
            <sz val="8"/>
            <color indexed="81"/>
            <rFont val="Tahoma"/>
            <family val="2"/>
          </rPr>
          <t xml:space="preserve">
v</t>
        </r>
      </text>
    </comment>
    <comment ref="E15" authorId="0" shapeId="0" xr:uid="{00000000-0006-0000-0400-000004000000}">
      <text>
        <r>
          <rPr>
            <b/>
            <sz val="8"/>
            <color indexed="81"/>
            <rFont val="Tahoma"/>
            <family val="2"/>
          </rPr>
          <t>Braibant Michel:</t>
        </r>
        <r>
          <rPr>
            <sz val="8"/>
            <color indexed="81"/>
            <rFont val="Tahoma"/>
            <family val="2"/>
          </rPr>
          <t xml:space="preserve">
v</t>
        </r>
      </text>
    </comment>
    <comment ref="E16" authorId="0" shapeId="0" xr:uid="{00000000-0006-0000-0400-000005000000}">
      <text>
        <r>
          <rPr>
            <b/>
            <sz val="8"/>
            <color indexed="81"/>
            <rFont val="Tahoma"/>
            <family val="2"/>
          </rPr>
          <t>Braibant Michel:</t>
        </r>
        <r>
          <rPr>
            <sz val="8"/>
            <color indexed="81"/>
            <rFont val="Tahoma"/>
            <family val="2"/>
          </rPr>
          <t xml:space="preserve">
v</t>
        </r>
      </text>
    </comment>
    <comment ref="E17" authorId="0" shapeId="0" xr:uid="{00000000-0006-0000-0400-000006000000}">
      <text>
        <r>
          <rPr>
            <b/>
            <sz val="8"/>
            <color indexed="81"/>
            <rFont val="Tahoma"/>
            <family val="2"/>
          </rPr>
          <t>Braibant Michel:</t>
        </r>
        <r>
          <rPr>
            <sz val="8"/>
            <color indexed="81"/>
            <rFont val="Tahoma"/>
            <family val="2"/>
          </rPr>
          <t xml:space="preserve">
v</t>
        </r>
      </text>
    </comment>
    <comment ref="E18" authorId="0" shapeId="0" xr:uid="{00000000-0006-0000-0400-000007000000}">
      <text>
        <r>
          <rPr>
            <b/>
            <sz val="8"/>
            <color indexed="81"/>
            <rFont val="Tahoma"/>
            <family val="2"/>
          </rPr>
          <t>Braibant Michel:</t>
        </r>
        <r>
          <rPr>
            <sz val="8"/>
            <color indexed="81"/>
            <rFont val="Tahoma"/>
            <family val="2"/>
          </rPr>
          <t xml:space="preserve">
v</t>
        </r>
      </text>
    </comment>
    <comment ref="B19" authorId="0" shapeId="0" xr:uid="{00000000-0006-0000-0400-000008000000}">
      <text>
        <r>
          <rPr>
            <b/>
            <sz val="8"/>
            <color indexed="81"/>
            <rFont val="Tahoma"/>
            <family val="2"/>
          </rPr>
          <t>Braibant Michel:</t>
        </r>
        <r>
          <rPr>
            <sz val="8"/>
            <color indexed="81"/>
            <rFont val="Tahoma"/>
            <family val="2"/>
          </rPr>
          <t xml:space="preserve">
v</t>
        </r>
      </text>
    </comment>
    <comment ref="C19" authorId="0" shapeId="0" xr:uid="{00000000-0006-0000-0400-000009000000}">
      <text>
        <r>
          <rPr>
            <b/>
            <sz val="8"/>
            <color indexed="81"/>
            <rFont val="Tahoma"/>
            <family val="2"/>
          </rPr>
          <t>Braibant Michel:</t>
        </r>
        <r>
          <rPr>
            <sz val="8"/>
            <color indexed="81"/>
            <rFont val="Tahoma"/>
            <family val="2"/>
          </rPr>
          <t xml:space="preserve">
v</t>
        </r>
      </text>
    </comment>
    <comment ref="D19" authorId="0" shapeId="0" xr:uid="{00000000-0006-0000-0400-00000A000000}">
      <text>
        <r>
          <rPr>
            <b/>
            <sz val="8"/>
            <color indexed="81"/>
            <rFont val="Tahoma"/>
            <family val="2"/>
          </rPr>
          <t>Braibant Michel:</t>
        </r>
        <r>
          <rPr>
            <sz val="8"/>
            <color indexed="81"/>
            <rFont val="Tahoma"/>
            <family val="2"/>
          </rPr>
          <t xml:space="preserve">
v</t>
        </r>
      </text>
    </comment>
    <comment ref="E19" authorId="0" shapeId="0" xr:uid="{00000000-0006-0000-0400-00000B000000}">
      <text>
        <r>
          <rPr>
            <b/>
            <sz val="8"/>
            <color indexed="81"/>
            <rFont val="Tahoma"/>
            <family val="2"/>
          </rPr>
          <t>Braibant Michel:</t>
        </r>
        <r>
          <rPr>
            <sz val="8"/>
            <color indexed="81"/>
            <rFont val="Tahoma"/>
            <family val="2"/>
          </rPr>
          <t xml:space="preserve">
v</t>
        </r>
      </text>
    </comment>
    <comment ref="E24" authorId="0" shapeId="0" xr:uid="{00000000-0006-0000-0400-00000C000000}">
      <text>
        <r>
          <rPr>
            <b/>
            <sz val="8"/>
            <color indexed="81"/>
            <rFont val="Tahoma"/>
            <family val="2"/>
          </rPr>
          <t>Braibant Michel:</t>
        </r>
        <r>
          <rPr>
            <sz val="8"/>
            <color indexed="81"/>
            <rFont val="Tahoma"/>
            <family val="2"/>
          </rPr>
          <t xml:space="preserve">
v
</t>
        </r>
      </text>
    </comment>
    <comment ref="E26" authorId="0" shapeId="0" xr:uid="{00000000-0006-0000-0400-00000D000000}">
      <text>
        <r>
          <rPr>
            <b/>
            <sz val="8"/>
            <color indexed="81"/>
            <rFont val="Tahoma"/>
            <family val="2"/>
          </rPr>
          <t>Braibant Michel:</t>
        </r>
        <r>
          <rPr>
            <sz val="8"/>
            <color indexed="81"/>
            <rFont val="Tahoma"/>
            <family val="2"/>
          </rPr>
          <t xml:space="preserve">
v
</t>
        </r>
      </text>
    </comment>
    <comment ref="E30" authorId="0" shapeId="0" xr:uid="{00000000-0006-0000-0400-00000E000000}">
      <text>
        <r>
          <rPr>
            <b/>
            <sz val="8"/>
            <color indexed="81"/>
            <rFont val="Tahoma"/>
            <family val="2"/>
          </rPr>
          <t>Braibant Michel:</t>
        </r>
        <r>
          <rPr>
            <sz val="8"/>
            <color indexed="81"/>
            <rFont val="Tahoma"/>
            <family val="2"/>
          </rPr>
          <t xml:space="preserve">
v
</t>
        </r>
      </text>
    </comment>
    <comment ref="E31" authorId="0" shapeId="0" xr:uid="{00000000-0006-0000-0400-00000F000000}">
      <text>
        <r>
          <rPr>
            <b/>
            <sz val="8"/>
            <color indexed="81"/>
            <rFont val="Tahoma"/>
            <family val="2"/>
          </rPr>
          <t>Braibant Michel:</t>
        </r>
        <r>
          <rPr>
            <sz val="8"/>
            <color indexed="81"/>
            <rFont val="Tahoma"/>
            <family val="2"/>
          </rPr>
          <t xml:space="preserve">
v
</t>
        </r>
      </text>
    </comment>
    <comment ref="E32" authorId="0" shapeId="0" xr:uid="{00000000-0006-0000-0400-000010000000}">
      <text>
        <r>
          <rPr>
            <b/>
            <sz val="8"/>
            <color indexed="81"/>
            <rFont val="Tahoma"/>
            <family val="2"/>
          </rPr>
          <t>Braibant Michel:</t>
        </r>
        <r>
          <rPr>
            <sz val="8"/>
            <color indexed="81"/>
            <rFont val="Tahoma"/>
            <family val="2"/>
          </rPr>
          <t xml:space="preserve">
v
</t>
        </r>
      </text>
    </comment>
    <comment ref="E33" authorId="0" shapeId="0" xr:uid="{00000000-0006-0000-0400-000011000000}">
      <text>
        <r>
          <rPr>
            <b/>
            <sz val="8"/>
            <color indexed="81"/>
            <rFont val="Tahoma"/>
            <family val="2"/>
          </rPr>
          <t>Braibant Michel:</t>
        </r>
        <r>
          <rPr>
            <sz val="8"/>
            <color indexed="81"/>
            <rFont val="Tahoma"/>
            <family val="2"/>
          </rPr>
          <t xml:space="preserve">
v
</t>
        </r>
      </text>
    </comment>
    <comment ref="E40" authorId="0" shapeId="0" xr:uid="{00000000-0006-0000-0400-000012000000}">
      <text>
        <r>
          <rPr>
            <b/>
            <sz val="8"/>
            <color indexed="81"/>
            <rFont val="Tahoma"/>
            <family val="2"/>
          </rPr>
          <t>Braibant Michel:</t>
        </r>
        <r>
          <rPr>
            <sz val="8"/>
            <color indexed="81"/>
            <rFont val="Tahoma"/>
            <family val="2"/>
          </rPr>
          <t xml:space="preserve">
v
</t>
        </r>
      </text>
    </comment>
    <comment ref="E43" authorId="0" shapeId="0" xr:uid="{00000000-0006-0000-0400-000013000000}">
      <text>
        <r>
          <rPr>
            <b/>
            <sz val="8"/>
            <color indexed="81"/>
            <rFont val="Tahoma"/>
            <family val="2"/>
          </rPr>
          <t>Braibant Michel:</t>
        </r>
        <r>
          <rPr>
            <sz val="8"/>
            <color indexed="81"/>
            <rFont val="Tahoma"/>
            <family val="2"/>
          </rPr>
          <t xml:space="preserve">
v
</t>
        </r>
      </text>
    </comment>
    <comment ref="E45" authorId="0" shapeId="0" xr:uid="{00000000-0006-0000-0400-000014000000}">
      <text>
        <r>
          <rPr>
            <b/>
            <sz val="8"/>
            <color indexed="81"/>
            <rFont val="Tahoma"/>
            <family val="2"/>
          </rPr>
          <t>Braibant Michel:</t>
        </r>
        <r>
          <rPr>
            <sz val="8"/>
            <color indexed="81"/>
            <rFont val="Tahoma"/>
            <family val="2"/>
          </rPr>
          <t xml:space="preserve">
v
</t>
        </r>
      </text>
    </comment>
    <comment ref="E51" authorId="0" shapeId="0" xr:uid="{00000000-0006-0000-0400-000015000000}">
      <text>
        <r>
          <rPr>
            <b/>
            <sz val="8"/>
            <color indexed="81"/>
            <rFont val="Tahoma"/>
            <family val="2"/>
          </rPr>
          <t>Braibant Michel:</t>
        </r>
        <r>
          <rPr>
            <sz val="8"/>
            <color indexed="81"/>
            <rFont val="Tahoma"/>
            <family val="2"/>
          </rPr>
          <t xml:space="preserve">
V</t>
        </r>
      </text>
    </comment>
    <comment ref="E59" authorId="0" shapeId="0" xr:uid="{00000000-0006-0000-0400-000016000000}">
      <text>
        <r>
          <rPr>
            <b/>
            <sz val="8"/>
            <color indexed="81"/>
            <rFont val="Tahoma"/>
            <family val="2"/>
          </rPr>
          <t>Braibant Michel:</t>
        </r>
        <r>
          <rPr>
            <sz val="8"/>
            <color indexed="81"/>
            <rFont val="Tahoma"/>
            <family val="2"/>
          </rPr>
          <t xml:space="preserve">
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Braibant Michel</author>
  </authors>
  <commentList>
    <comment ref="E9" authorId="0" shapeId="0" xr:uid="{00000000-0006-0000-0500-000001000000}">
      <text>
        <r>
          <rPr>
            <b/>
            <sz val="8"/>
            <color indexed="81"/>
            <rFont val="Tahoma"/>
            <family val="2"/>
          </rPr>
          <t>Braibant Michel:</t>
        </r>
        <r>
          <rPr>
            <sz val="8"/>
            <color indexed="81"/>
            <rFont val="Tahoma"/>
            <family val="2"/>
          </rPr>
          <t xml:space="preserve">
v</t>
        </r>
      </text>
    </comment>
    <comment ref="C19" authorId="0" shapeId="0" xr:uid="{00000000-0006-0000-0500-000002000000}">
      <text>
        <r>
          <rPr>
            <b/>
            <sz val="8"/>
            <color indexed="81"/>
            <rFont val="Tahoma"/>
            <family val="2"/>
          </rPr>
          <t>Braibant Michel:</t>
        </r>
        <r>
          <rPr>
            <sz val="8"/>
            <color indexed="81"/>
            <rFont val="Tahoma"/>
            <family val="2"/>
          </rPr>
          <t xml:space="preserve">
v</t>
        </r>
      </text>
    </comment>
    <comment ref="D19" authorId="0" shapeId="0" xr:uid="{00000000-0006-0000-0500-000003000000}">
      <text>
        <r>
          <rPr>
            <b/>
            <sz val="8"/>
            <color indexed="81"/>
            <rFont val="Tahoma"/>
            <family val="2"/>
          </rPr>
          <t>Braibant Michel:</t>
        </r>
        <r>
          <rPr>
            <sz val="8"/>
            <color indexed="81"/>
            <rFont val="Tahoma"/>
            <family val="2"/>
          </rPr>
          <t xml:space="preserve">
v</t>
        </r>
      </text>
    </comment>
    <comment ref="E19" authorId="0" shapeId="0" xr:uid="{00000000-0006-0000-0500-000004000000}">
      <text>
        <r>
          <rPr>
            <b/>
            <sz val="8"/>
            <color indexed="81"/>
            <rFont val="Tahoma"/>
            <family val="2"/>
          </rPr>
          <t>Braibant Michel:</t>
        </r>
        <r>
          <rPr>
            <sz val="8"/>
            <color indexed="81"/>
            <rFont val="Tahoma"/>
            <family val="2"/>
          </rPr>
          <t xml:space="preserve">
v</t>
        </r>
      </text>
    </comment>
    <comment ref="E24" authorId="0" shapeId="0" xr:uid="{00000000-0006-0000-0500-000005000000}">
      <text>
        <r>
          <rPr>
            <b/>
            <sz val="8"/>
            <color indexed="81"/>
            <rFont val="Tahoma"/>
            <family val="2"/>
          </rPr>
          <t>Braibant Michel:</t>
        </r>
        <r>
          <rPr>
            <sz val="8"/>
            <color indexed="81"/>
            <rFont val="Tahoma"/>
            <family val="2"/>
          </rPr>
          <t xml:space="preserve">
v
</t>
        </r>
      </text>
    </comment>
    <comment ref="E51" authorId="0" shapeId="0" xr:uid="{00000000-0006-0000-0500-000006000000}">
      <text>
        <r>
          <rPr>
            <b/>
            <sz val="8"/>
            <color indexed="81"/>
            <rFont val="Tahoma"/>
            <family val="2"/>
          </rPr>
          <t>Braibant Michel:</t>
        </r>
        <r>
          <rPr>
            <sz val="8"/>
            <color indexed="81"/>
            <rFont val="Tahoma"/>
            <family val="2"/>
          </rPr>
          <t xml:space="preserve">
V</t>
        </r>
      </text>
    </comment>
    <comment ref="E59" authorId="0" shapeId="0" xr:uid="{00000000-0006-0000-0500-000007000000}">
      <text>
        <r>
          <rPr>
            <b/>
            <sz val="8"/>
            <color indexed="81"/>
            <rFont val="Tahoma"/>
            <family val="2"/>
          </rPr>
          <t>Braibant Michel:</t>
        </r>
        <r>
          <rPr>
            <sz val="8"/>
            <color indexed="81"/>
            <rFont val="Tahoma"/>
            <family val="2"/>
          </rPr>
          <t xml:space="preserve">
v</t>
        </r>
      </text>
    </comment>
  </commentList>
</comments>
</file>

<file path=xl/sharedStrings.xml><?xml version="1.0" encoding="utf-8"?>
<sst xmlns="http://schemas.openxmlformats.org/spreadsheetml/2006/main" count="655" uniqueCount="275">
  <si>
    <t>Tableau 1</t>
  </si>
  <si>
    <t>Population active du tertiaire de 1896 à 1980</t>
  </si>
  <si>
    <t>Services marchands :</t>
  </si>
  <si>
    <t>Services rendus principalement</t>
  </si>
  <si>
    <t>aux entreprises :</t>
  </si>
  <si>
    <t>Ingénierie</t>
  </si>
  <si>
    <t>Services liés à la construc</t>
  </si>
  <si>
    <t>Services liés au logement . .</t>
  </si>
  <si>
    <t>Conseils juridiques</t>
  </si>
  <si>
    <t>Expertise comptable</t>
  </si>
  <si>
    <t>Publicité</t>
  </si>
  <si>
    <t>Services d'auxiliaires finan</t>
  </si>
  <si>
    <t>Travail temporaire. .......</t>
  </si>
  <si>
    <t>Construction-promotion. . .</t>
  </si>
  <si>
    <t>Enseignement - recherche</t>
  </si>
  <si>
    <t>Total</t>
  </si>
  <si>
    <t>Hôtels-cafés-restaurants</t>
  </si>
  <si>
    <t>Commerce et réparation auto-</t>
  </si>
  <si>
    <t>aux ménages :</t>
  </si>
  <si>
    <t>Santé</t>
  </si>
  <si>
    <t>Réparations diverses</t>
  </si>
  <si>
    <t>Action sociale</t>
  </si>
  <si>
    <t>Services cinématographi</t>
  </si>
  <si>
    <t>Blanchisserie-teinturerie. . .</t>
  </si>
  <si>
    <t>Services divers rendus aux</t>
  </si>
  <si>
    <t>* Les nombres entre parenthèses ont été estimés à partir d'hypothèses ; d'une façon générale, la précision de ces effectifs</t>
  </si>
  <si>
    <t>est médiocre, seules les tendances générales méritent attention.</t>
  </si>
  <si>
    <t>hygiène corporelle</t>
  </si>
  <si>
    <t>récupération</t>
  </si>
  <si>
    <t>location</t>
  </si>
  <si>
    <t>Services non marchands :</t>
  </si>
  <si>
    <t>Domestique</t>
  </si>
  <si>
    <t>Administrations '</t>
  </si>
  <si>
    <t>Dont :</t>
  </si>
  <si>
    <t>Administration civile. . . .</t>
  </si>
  <si>
    <t>Clergé</t>
  </si>
  <si>
    <t>Enseignement privé</t>
  </si>
  <si>
    <t>Commerce :</t>
  </si>
  <si>
    <t>De gros alimentaire</t>
  </si>
  <si>
    <t>De gros non alimentaire..</t>
  </si>
  <si>
    <t>De détail alimentaire</t>
  </si>
  <si>
    <t>De détail non alimentaire.</t>
  </si>
  <si>
    <t>Total « Commerce ».</t>
  </si>
  <si>
    <t>Transports ferroviaires. . . .</t>
  </si>
  <si>
    <t>Transports maritimes</t>
  </si>
  <si>
    <t>Transports aériens</t>
  </si>
  <si>
    <t>Navigation intérieure</t>
  </si>
  <si>
    <t>Total Transports</t>
  </si>
  <si>
    <t>Télécommunications . .</t>
  </si>
  <si>
    <t>Total tertiaire</t>
  </si>
  <si>
    <t>(D</t>
  </si>
  <si>
    <t>Total population active française</t>
  </si>
  <si>
    <t>(en % de l'emploi intérieur)</t>
  </si>
  <si>
    <t>Total « Services non marchands"</t>
  </si>
  <si>
    <t>Location et crédit-bail immobilier"</t>
  </si>
  <si>
    <t>Organismes financiers et assurances</t>
  </si>
  <si>
    <t>Transports et télécommunications"</t>
  </si>
  <si>
    <t>Total «Transportset Télécommunications"</t>
  </si>
  <si>
    <t>Transports routiers de marchandises</t>
  </si>
  <si>
    <t>Transports routiers de voyageurs</t>
  </si>
  <si>
    <t>Auxiliaires des transports et activités annexes</t>
  </si>
  <si>
    <t>(31.1)</t>
  </si>
  <si>
    <t xml:space="preserve">Total « services marchands" </t>
  </si>
  <si>
    <t>(39.8)</t>
  </si>
  <si>
    <t>(51.9)</t>
  </si>
  <si>
    <t>(57.0)</t>
  </si>
  <si>
    <t>Édition, audiovisuel et diffusion</t>
  </si>
  <si>
    <t>Télécommunications</t>
  </si>
  <si>
    <t>Activités informatiques et services d information</t>
  </si>
  <si>
    <t>Télécommunications et informations .</t>
  </si>
  <si>
    <t>postes</t>
  </si>
  <si>
    <t>véerif télécom</t>
  </si>
  <si>
    <t xml:space="preserve">Enseignement </t>
  </si>
  <si>
    <t xml:space="preserve">Administration </t>
  </si>
  <si>
    <t>Activ  ménages : employeurs, produc  biens et serv  (usage propre)</t>
  </si>
  <si>
    <t>Services principalement  non marchands :</t>
  </si>
  <si>
    <t>Total « Services principalement  non marchands :"</t>
  </si>
  <si>
    <t>Autres activités de services</t>
  </si>
  <si>
    <t>activités juridiques et comptables</t>
  </si>
  <si>
    <t>Activ   architecture et ingénierie- contrôle et analyses techniques</t>
  </si>
  <si>
    <t>Activités immobilières</t>
  </si>
  <si>
    <t>recherche développement</t>
  </si>
  <si>
    <t>Activ  administratives et autres activ  soutien aux entreprises</t>
  </si>
  <si>
    <t>Activités des sièges sociaux - conseil de gestion</t>
  </si>
  <si>
    <t>vérif</t>
  </si>
  <si>
    <t>Autres activités spécialisées, scientifiques et techniques</t>
  </si>
  <si>
    <t>Arts, spectacles et activités récréatives</t>
  </si>
  <si>
    <t xml:space="preserve">Transports </t>
  </si>
  <si>
    <t>Population active du tertiaire de 1906 à 2011</t>
  </si>
  <si>
    <t xml:space="preserve">Activ  ménages : employeurs, produc  biens </t>
  </si>
  <si>
    <t>et serv  (usage propre)</t>
  </si>
  <si>
    <t>Total « Services principalement  non marchands "</t>
  </si>
  <si>
    <t>Transports terrestres</t>
  </si>
  <si>
    <t>Transports par eau</t>
  </si>
  <si>
    <t>Total services rendus aux entreprises</t>
  </si>
  <si>
    <t>Total services rendus aux ménages</t>
  </si>
  <si>
    <t>services rendus aux entreprises</t>
  </si>
  <si>
    <t>Transports</t>
  </si>
  <si>
    <t>Commerce</t>
  </si>
  <si>
    <t>Santé et action sociale</t>
  </si>
  <si>
    <t>Autres activités de services aux ménages</t>
  </si>
  <si>
    <t/>
  </si>
  <si>
    <t>Hébergement et restauration</t>
  </si>
  <si>
    <t>Activités pour la santé humaine</t>
  </si>
  <si>
    <t>Activités financières et d'assurance</t>
  </si>
  <si>
    <t>amploi tertiaire de 1906 à 2016 en milliers d'effectifs</t>
  </si>
  <si>
    <t>Population active du tertiaire de 1896 à 1980 en milliers</t>
  </si>
  <si>
    <t>Administrations</t>
  </si>
  <si>
    <t>Postes</t>
  </si>
  <si>
    <t>Activ  ménages : employeurs, production propre</t>
  </si>
  <si>
    <t>6.208 – Emploi intérieur total par branche en nombre de personnes</t>
  </si>
  <si>
    <t>Unité : Millier de personnes</t>
  </si>
  <si>
    <t>1954</t>
  </si>
  <si>
    <t>1962</t>
  </si>
  <si>
    <t>1968</t>
  </si>
  <si>
    <t>1974</t>
  </si>
  <si>
    <t>1980</t>
  </si>
  <si>
    <t>1990</t>
  </si>
  <si>
    <t>2000</t>
  </si>
  <si>
    <t>2008</t>
  </si>
  <si>
    <t>2011</t>
  </si>
  <si>
    <t>2016</t>
  </si>
  <si>
    <t>2022</t>
  </si>
  <si>
    <t>2023</t>
  </si>
  <si>
    <t>A5_GU</t>
  </si>
  <si>
    <t>Services principalement marchands</t>
  </si>
  <si>
    <t>A10_GI</t>
  </si>
  <si>
    <t xml:space="preserve">  Commerce de gros et de détail, transports, hébergement et restauration</t>
  </si>
  <si>
    <t>A17_GZ</t>
  </si>
  <si>
    <t xml:space="preserve">    Commerce ; réparation d'automobiles et de motocycles</t>
  </si>
  <si>
    <t>A17_HZ</t>
  </si>
  <si>
    <t xml:space="preserve">    Transports et entreposage</t>
  </si>
  <si>
    <t>A17_IZ</t>
  </si>
  <si>
    <t xml:space="preserve">    Hébergement et restauration</t>
  </si>
  <si>
    <t>A10_JZ</t>
  </si>
  <si>
    <t xml:space="preserve">  Information et communication</t>
  </si>
  <si>
    <t>A38_JA</t>
  </si>
  <si>
    <t xml:space="preserve">      Edition, audiovisuel et diffusion</t>
  </si>
  <si>
    <t>A38_JB</t>
  </si>
  <si>
    <t xml:space="preserve">      Télécommunications</t>
  </si>
  <si>
    <t>A38_JC</t>
  </si>
  <si>
    <t xml:space="preserve">      Activités informatiques et services d'information</t>
  </si>
  <si>
    <t>A10_KZ</t>
  </si>
  <si>
    <t xml:space="preserve">  Activités financières et d'assurance</t>
  </si>
  <si>
    <t>A10_LZ</t>
  </si>
  <si>
    <t xml:space="preserve">  Activités immobilières</t>
  </si>
  <si>
    <t>A10_MN</t>
  </si>
  <si>
    <t xml:space="preserve">  Activités spécialisées, scientifiques et techniques et activités de services administratifs et de soutien</t>
  </si>
  <si>
    <t>A38_MA</t>
  </si>
  <si>
    <t xml:space="preserve">      Activités juridiques, comptables, de gestion, d'architecture, d'ingénierie, de contrôle et d'analyses techniques</t>
  </si>
  <si>
    <t>A38_MB</t>
  </si>
  <si>
    <t xml:space="preserve">      Recherche-développement scientifique</t>
  </si>
  <si>
    <t>A38_MC</t>
  </si>
  <si>
    <t xml:space="preserve">      Autres activités spécialisées, scientifiques et techniques</t>
  </si>
  <si>
    <t>A38_NZ</t>
  </si>
  <si>
    <t xml:space="preserve">      Activités de services administratifs et de soutien</t>
  </si>
  <si>
    <t>A10_RU</t>
  </si>
  <si>
    <t xml:space="preserve">  Arts, divertissement et loisirs ; autres activités de services ; activités des ménages, des organismes et organisations extraterritoriaux</t>
  </si>
  <si>
    <t>A38_RZ</t>
  </si>
  <si>
    <t xml:space="preserve">      Arts, spectacles et activités récréatives</t>
  </si>
  <si>
    <t>A38_SZ</t>
  </si>
  <si>
    <t xml:space="preserve">      Autres activités de services</t>
  </si>
  <si>
    <t>A38_TZ</t>
  </si>
  <si>
    <t xml:space="preserve">      Activités des ménages en tant qu'employeurs ; activités indifférenciées des ménages en tant que producteurs de biens et services pour usage propre</t>
  </si>
  <si>
    <t>A5_OQ</t>
  </si>
  <si>
    <t>Services principalement non marchands (*)</t>
  </si>
  <si>
    <t>A38_OZ</t>
  </si>
  <si>
    <t xml:space="preserve">      Administration publique</t>
  </si>
  <si>
    <t>A38_PZ</t>
  </si>
  <si>
    <t xml:space="preserve">      Enseignement</t>
  </si>
  <si>
    <t>A38_QA</t>
  </si>
  <si>
    <t xml:space="preserve">      Activités pour la santé humaine</t>
  </si>
  <si>
    <t>A38_QB</t>
  </si>
  <si>
    <t xml:space="preserve">      Hébergement médico-social et social et action sociale sans hébergement</t>
  </si>
  <si>
    <t>_T</t>
  </si>
  <si>
    <t>Source : Comptes nationaux annuels (base 2020)</t>
  </si>
  <si>
    <t>Note : (*) Le poste "Services principalement non marchands" correspond au regroupement des items "Administration publique", "Enseignement", "Santé humaine et action sociale", soit au poste OQ des niveaux A10 et A17 de la Nomenclature Agrégée (NA) 2008.</t>
  </si>
  <si>
    <t>6.208d – Emploi intérieur total par branche en nombre de personnes</t>
  </si>
  <si>
    <t>A38_GZ</t>
  </si>
  <si>
    <t>Commerce ; réparation d'automobiles et de motocycles</t>
  </si>
  <si>
    <t>A88_45</t>
  </si>
  <si>
    <t xml:space="preserve">  Commerce et réparation d'automobiles et de motocycles</t>
  </si>
  <si>
    <t>A88_46</t>
  </si>
  <si>
    <t xml:space="preserve">  Commerce de gros, à l’exception des automobiles et des motocycles</t>
  </si>
  <si>
    <t>A88_47</t>
  </si>
  <si>
    <t xml:space="preserve">  Commerce de détail, à l’exception des automobiles et des motocycles</t>
  </si>
  <si>
    <t>A38_HZ</t>
  </si>
  <si>
    <t>Transports et entreposage</t>
  </si>
  <si>
    <t>A88_49</t>
  </si>
  <si>
    <t xml:space="preserve">  Transports terrestres et transport par conduites</t>
  </si>
  <si>
    <t>A88_50</t>
  </si>
  <si>
    <t xml:space="preserve">  Transports par eau</t>
  </si>
  <si>
    <t>A88_51</t>
  </si>
  <si>
    <t xml:space="preserve">  Transports aériens</t>
  </si>
  <si>
    <t>A88_52</t>
  </si>
  <si>
    <t xml:space="preserve">  Entreposage et services auxiliaires des transports</t>
  </si>
  <si>
    <t>A88_53</t>
  </si>
  <si>
    <t xml:space="preserve">  Activités de poste et de courrier</t>
  </si>
  <si>
    <t>A38_IZ</t>
  </si>
  <si>
    <t>A88_55</t>
  </si>
  <si>
    <t xml:space="preserve">  Hébergement</t>
  </si>
  <si>
    <t>A88_56</t>
  </si>
  <si>
    <t xml:space="preserve">  Restauration</t>
  </si>
  <si>
    <t>Edition, audiovisuel et diffusion</t>
  </si>
  <si>
    <t>A88_58</t>
  </si>
  <si>
    <t xml:space="preserve">  Édition</t>
  </si>
  <si>
    <t>A88_59</t>
  </si>
  <si>
    <t xml:space="preserve">  Production de films cinématographiques, de vidéo et de programmes de télévision ; enregistrement sonore et édition musicale</t>
  </si>
  <si>
    <t>A88_60</t>
  </si>
  <si>
    <t xml:space="preserve">  Programmation et diffusion</t>
  </si>
  <si>
    <t>Activités informatiques et services d'information</t>
  </si>
  <si>
    <t>A88_62</t>
  </si>
  <si>
    <t xml:space="preserve">  Programmation, conseil et autres activités informatiques</t>
  </si>
  <si>
    <t>A88_63</t>
  </si>
  <si>
    <t xml:space="preserve">  Services d'information</t>
  </si>
  <si>
    <t>A38_KZ</t>
  </si>
  <si>
    <t>A88_64</t>
  </si>
  <si>
    <t xml:space="preserve">  Activités des services financiers, hors assurance et caisses de retraite</t>
  </si>
  <si>
    <t>A88_65</t>
  </si>
  <si>
    <t xml:space="preserve">  Assurance</t>
  </si>
  <si>
    <t>A88_66</t>
  </si>
  <si>
    <t xml:space="preserve">  Activités auxiliaires de services financiers et d'assurance</t>
  </si>
  <si>
    <t>A38_LZ</t>
  </si>
  <si>
    <t>Activités juridiques, comptables, de gestion, d'architecture, d'ingénierie, de contrôle et d'analyses techniques</t>
  </si>
  <si>
    <t>A88_69</t>
  </si>
  <si>
    <t xml:space="preserve">  Activités juridiques et comptables</t>
  </si>
  <si>
    <t>A88_70</t>
  </si>
  <si>
    <t xml:space="preserve">  Activités des sièges sociaux ; conseil de gestion</t>
  </si>
  <si>
    <t>A88_71</t>
  </si>
  <si>
    <t xml:space="preserve">  Activités d'architecture et d'ingénierie ; activités de contrôle et analyses techniques</t>
  </si>
  <si>
    <t>Recherche-développement scientifique</t>
  </si>
  <si>
    <t>A88_73</t>
  </si>
  <si>
    <t xml:space="preserve">  Publicité et études de marché</t>
  </si>
  <si>
    <t>A88_74</t>
  </si>
  <si>
    <t xml:space="preserve">  Autres activités spécialisées, scientifiques et techniques</t>
  </si>
  <si>
    <t>A88_75</t>
  </si>
  <si>
    <t xml:space="preserve">  Activités vétérinaires</t>
  </si>
  <si>
    <t>Activités de services administratifs et de soutien</t>
  </si>
  <si>
    <t>A88_77</t>
  </si>
  <si>
    <t xml:space="preserve">  Activités de location et location-bail</t>
  </si>
  <si>
    <t>A88_78</t>
  </si>
  <si>
    <t xml:space="preserve">  Activités liées à l'emploi</t>
  </si>
  <si>
    <t>A88_79</t>
  </si>
  <si>
    <t xml:space="preserve">  Activités des agences de voyage, voyagistes, services de réservation et activités connexes</t>
  </si>
  <si>
    <t>A88_80</t>
  </si>
  <si>
    <t xml:space="preserve">  Enquêtes et sécurité</t>
  </si>
  <si>
    <t>A88_81</t>
  </si>
  <si>
    <t xml:space="preserve">  Services relatifs aux bâtiments et aménagement paysager</t>
  </si>
  <si>
    <t>A88_82</t>
  </si>
  <si>
    <t xml:space="preserve">  Activités administratives et autres activités de soutien aux entreprises</t>
  </si>
  <si>
    <t>Administration publique</t>
  </si>
  <si>
    <t>Enseignement</t>
  </si>
  <si>
    <t>Hébergement médico-social et social et action sociale sans hébergement</t>
  </si>
  <si>
    <t>A88_87</t>
  </si>
  <si>
    <t xml:space="preserve">  Hébergement médico-social et social</t>
  </si>
  <si>
    <t>A88_88</t>
  </si>
  <si>
    <t xml:space="preserve">  Action sociale sans hébergement</t>
  </si>
  <si>
    <t>A88_90</t>
  </si>
  <si>
    <t xml:space="preserve">  Activités créatives, artistiques et de spectacle</t>
  </si>
  <si>
    <t>A88_91</t>
  </si>
  <si>
    <t xml:space="preserve">  Bibliothèques, archives, musées et autres activités culturelles</t>
  </si>
  <si>
    <t>A88_92</t>
  </si>
  <si>
    <t xml:space="preserve">  Organisation de jeux de hasard et d'argent</t>
  </si>
  <si>
    <t>A88_93</t>
  </si>
  <si>
    <t xml:space="preserve">  Activités sportives, récréatives et de loisirs</t>
  </si>
  <si>
    <t>A88_94</t>
  </si>
  <si>
    <t xml:space="preserve">  Activités des organisations associatives</t>
  </si>
  <si>
    <t>A88_95</t>
  </si>
  <si>
    <t xml:space="preserve">  Réparation d'ordinateurs et de biens personnels et domestiques</t>
  </si>
  <si>
    <t>A88_96</t>
  </si>
  <si>
    <t xml:space="preserve">  Autres services personnels</t>
  </si>
  <si>
    <t>Activités des ménages en tant qu'employeurs ; activités indifférenciées des ménages en tant que producteurs de biens et services pour usage propre</t>
  </si>
  <si>
    <t>A88_97</t>
  </si>
  <si>
    <t xml:space="preserve">  Activités des ménages en tant qu'employeurs de personnel domestique</t>
  </si>
  <si>
    <t>Source : Comptes nationaux annuels (base 2020), calcul de l'auteur avant 1954 et de 1954 à 1990 dans le niveau plus détaillé que le niveau 38 de la nomenclature calé sur le niveau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</si>
</sst>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6" x14ac:knownFonts="1">
    <font>
      <sz val="10"/>
      <name val="Arial"/>
    </font>
    <font>
      <sz val="8"/>
      <name val="Arial"/>
      <family val="2"/>
    </font>
    <font>
      <sz val="8"/>
      <color indexed="81"/>
      <name val="Tahoma"/>
      <family val="2"/>
    </font>
    <font>
      <b/>
      <sz val="8"/>
      <color indexed="81"/>
      <name val="Tahoma"/>
      <family val="2"/>
    </font>
    <font>
      <sz val="9"/>
      <name val="Arial"/>
      <family val="2"/>
    </font>
    <font>
      <b/>
      <sz val="9"/>
      <name val="Arial"/>
      <family val="2"/>
    </font>
    <font>
      <i/>
      <sz val="9"/>
      <name val="Arial"/>
      <family val="2"/>
    </font>
    <font>
      <sz val="14"/>
      <name val="Arial"/>
      <family val="2"/>
    </font>
    <font>
      <b/>
      <sz val="14"/>
      <name val="Arial"/>
      <family val="2"/>
    </font>
    <font>
      <b/>
      <sz val="14"/>
      <color indexed="10"/>
      <name val="Arial"/>
      <family val="2"/>
    </font>
    <font>
      <b/>
      <i/>
      <sz val="14"/>
      <color indexed="10"/>
      <name val="Arial"/>
      <family val="2"/>
    </font>
    <font>
      <sz val="10"/>
      <name val="Arial"/>
      <family val="2"/>
    </font>
    <font>
      <b/>
      <sz val="10"/>
      <name val="Arial"/>
      <family val="2"/>
    </font>
    <font>
      <b/>
      <sz val="8"/>
      <name val="Arial"/>
      <family val="2"/>
    </font>
    <font>
      <sz val="14"/>
      <color indexed="10"/>
      <name val="Arial"/>
      <family val="2"/>
    </font>
    <font>
      <sz val="12"/>
      <name val="Arial"/>
      <family val="2"/>
    </font>
  </fonts>
  <fills count="6">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solid">
        <fgColor rgb="FFFFFF00"/>
        <bgColor indexed="64"/>
      </patternFill>
    </fill>
  </fills>
  <borders count="24">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ck">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6">
    <xf numFmtId="0" fontId="0" fillId="0" borderId="0" xfId="0"/>
    <xf numFmtId="3" fontId="0" fillId="0" borderId="0" xfId="0" applyNumberFormat="1"/>
    <xf numFmtId="0" fontId="0" fillId="0" borderId="0" xfId="0" applyAlignment="1">
      <alignment horizontal="center"/>
    </xf>
    <xf numFmtId="3" fontId="0" fillId="0" borderId="0" xfId="0" applyNumberFormat="1" applyAlignment="1">
      <alignment horizontal="center"/>
    </xf>
    <xf numFmtId="0" fontId="1" fillId="0" borderId="0" xfId="0" applyFont="1"/>
    <xf numFmtId="3" fontId="1" fillId="0" borderId="0" xfId="0" applyNumberFormat="1" applyFont="1"/>
    <xf numFmtId="0" fontId="1" fillId="0" borderId="0" xfId="0" applyFont="1" applyAlignment="1">
      <alignment horizontal="center"/>
    </xf>
    <xf numFmtId="3" fontId="1" fillId="0" borderId="0" xfId="0" applyNumberFormat="1" applyFont="1" applyAlignment="1">
      <alignment horizontal="center"/>
    </xf>
    <xf numFmtId="164" fontId="1" fillId="0" borderId="0" xfId="0" applyNumberFormat="1" applyFont="1"/>
    <xf numFmtId="0" fontId="1" fillId="2" borderId="0" xfId="0" applyFont="1" applyFill="1"/>
    <xf numFmtId="0" fontId="1" fillId="2" borderId="0" xfId="0" applyFont="1" applyFill="1" applyAlignment="1">
      <alignment horizontal="center"/>
    </xf>
    <xf numFmtId="3" fontId="1" fillId="2" borderId="0" xfId="0" applyNumberFormat="1" applyFont="1" applyFill="1"/>
    <xf numFmtId="165" fontId="1" fillId="0" borderId="0" xfId="0" applyNumberFormat="1" applyFont="1"/>
    <xf numFmtId="0" fontId="1" fillId="3" borderId="0" xfId="0" applyFont="1" applyFill="1"/>
    <xf numFmtId="0" fontId="1" fillId="0" borderId="0" xfId="0" applyFont="1" applyFill="1"/>
    <xf numFmtId="0" fontId="4" fillId="0" borderId="0" xfId="0" applyFont="1"/>
    <xf numFmtId="3" fontId="4" fillId="0" borderId="0" xfId="0" applyNumberFormat="1" applyFont="1"/>
    <xf numFmtId="165" fontId="4" fillId="0" borderId="0" xfId="0" applyNumberFormat="1" applyFont="1"/>
    <xf numFmtId="0" fontId="4" fillId="0" borderId="1" xfId="0" applyFont="1" applyBorder="1" applyAlignment="1">
      <alignment horizontal="center"/>
    </xf>
    <xf numFmtId="0" fontId="4" fillId="0" borderId="2"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1" fontId="4" fillId="0" borderId="0" xfId="0" applyNumberFormat="1" applyFont="1" applyBorder="1" applyAlignment="1">
      <alignment horizontal="center"/>
    </xf>
    <xf numFmtId="1" fontId="4" fillId="0" borderId="3" xfId="0" applyNumberFormat="1" applyFont="1" applyBorder="1" applyAlignment="1">
      <alignment horizontal="center"/>
    </xf>
    <xf numFmtId="1" fontId="4" fillId="0" borderId="0" xfId="0" applyNumberFormat="1" applyFont="1" applyFill="1" applyBorder="1" applyAlignment="1">
      <alignment horizontal="center"/>
    </xf>
    <xf numFmtId="1" fontId="5" fillId="0" borderId="0" xfId="0" applyNumberFormat="1" applyFont="1" applyBorder="1" applyAlignment="1">
      <alignment horizontal="center"/>
    </xf>
    <xf numFmtId="1" fontId="5" fillId="0" borderId="3" xfId="0" applyNumberFormat="1" applyFont="1" applyBorder="1" applyAlignment="1">
      <alignment horizontal="center"/>
    </xf>
    <xf numFmtId="1" fontId="4" fillId="0" borderId="3" xfId="0" applyNumberFormat="1" applyFont="1" applyFill="1" applyBorder="1" applyAlignment="1">
      <alignment horizontal="center"/>
    </xf>
    <xf numFmtId="1" fontId="5" fillId="0" borderId="0" xfId="0" applyNumberFormat="1" applyFont="1" applyFill="1" applyBorder="1" applyAlignment="1">
      <alignment horizontal="center"/>
    </xf>
    <xf numFmtId="1" fontId="5" fillId="0" borderId="3" xfId="0" applyNumberFormat="1" applyFont="1" applyFill="1" applyBorder="1" applyAlignment="1">
      <alignment horizontal="center"/>
    </xf>
    <xf numFmtId="3" fontId="4" fillId="0" borderId="0" xfId="0" applyNumberFormat="1" applyFont="1" applyBorder="1" applyAlignment="1">
      <alignment horizontal="center"/>
    </xf>
    <xf numFmtId="3" fontId="5" fillId="0" borderId="0" xfId="0" applyNumberFormat="1" applyFont="1" applyBorder="1" applyAlignment="1">
      <alignment horizontal="center"/>
    </xf>
    <xf numFmtId="3" fontId="5" fillId="0" borderId="3" xfId="0" applyNumberFormat="1" applyFont="1" applyBorder="1" applyAlignment="1">
      <alignment horizontal="center"/>
    </xf>
    <xf numFmtId="166" fontId="6" fillId="0" borderId="0" xfId="0" applyNumberFormat="1" applyFont="1" applyBorder="1" applyAlignment="1">
      <alignment horizontal="center"/>
    </xf>
    <xf numFmtId="166" fontId="6" fillId="0" borderId="3" xfId="0" applyNumberFormat="1" applyFont="1" applyBorder="1" applyAlignment="1">
      <alignment horizontal="center"/>
    </xf>
    <xf numFmtId="3" fontId="5" fillId="0" borderId="4" xfId="0" applyNumberFormat="1" applyFont="1" applyBorder="1" applyAlignment="1">
      <alignment horizontal="center"/>
    </xf>
    <xf numFmtId="3" fontId="5" fillId="0" borderId="5" xfId="0" applyNumberFormat="1" applyFont="1" applyBorder="1" applyAlignment="1">
      <alignment horizontal="center"/>
    </xf>
    <xf numFmtId="0" fontId="4" fillId="0" borderId="6" xfId="0" applyFont="1" applyBorder="1"/>
    <xf numFmtId="0" fontId="4" fillId="0" borderId="7" xfId="0" applyFont="1" applyBorder="1"/>
    <xf numFmtId="0" fontId="4" fillId="0" borderId="8" xfId="0" applyFont="1" applyBorder="1"/>
    <xf numFmtId="0" fontId="4" fillId="0" borderId="4" xfId="0" applyFont="1" applyBorder="1" applyAlignment="1">
      <alignment horizontal="center"/>
    </xf>
    <xf numFmtId="0" fontId="4" fillId="0" borderId="5" xfId="0" applyFont="1" applyBorder="1" applyAlignment="1">
      <alignment horizontal="center"/>
    </xf>
    <xf numFmtId="0" fontId="4" fillId="0" borderId="9" xfId="0" applyFont="1" applyBorder="1"/>
    <xf numFmtId="1" fontId="5" fillId="0" borderId="10" xfId="0" applyNumberFormat="1" applyFont="1" applyFill="1" applyBorder="1" applyAlignment="1">
      <alignment horizontal="center"/>
    </xf>
    <xf numFmtId="1" fontId="5" fillId="0" borderId="11" xfId="0" applyNumberFormat="1" applyFont="1" applyFill="1" applyBorder="1" applyAlignment="1">
      <alignment horizontal="center"/>
    </xf>
    <xf numFmtId="1" fontId="5" fillId="0" borderId="12" xfId="0" applyNumberFormat="1" applyFont="1" applyFill="1" applyBorder="1" applyAlignment="1">
      <alignment horizontal="center"/>
    </xf>
    <xf numFmtId="1" fontId="4" fillId="0" borderId="0" xfId="0" applyNumberFormat="1" applyFont="1"/>
    <xf numFmtId="1" fontId="4" fillId="2" borderId="0" xfId="0" applyNumberFormat="1" applyFont="1" applyFill="1" applyBorder="1" applyAlignment="1">
      <alignment horizontal="center"/>
    </xf>
    <xf numFmtId="1" fontId="5" fillId="2" borderId="0" xfId="0" applyNumberFormat="1" applyFont="1" applyFill="1" applyBorder="1" applyAlignment="1">
      <alignment horizontal="center"/>
    </xf>
    <xf numFmtId="0" fontId="7" fillId="4" borderId="0" xfId="0" applyFont="1" applyFill="1" applyBorder="1" applyAlignment="1">
      <alignment horizontal="center"/>
    </xf>
    <xf numFmtId="1" fontId="7" fillId="4" borderId="0" xfId="0" applyNumberFormat="1" applyFont="1" applyFill="1" applyBorder="1" applyAlignment="1">
      <alignment horizontal="center"/>
    </xf>
    <xf numFmtId="1" fontId="8" fillId="4" borderId="0" xfId="0" applyNumberFormat="1" applyFont="1" applyFill="1" applyBorder="1" applyAlignment="1">
      <alignment horizontal="center"/>
    </xf>
    <xf numFmtId="3" fontId="8" fillId="4" borderId="0" xfId="0" applyNumberFormat="1" applyFont="1" applyFill="1" applyBorder="1" applyAlignment="1">
      <alignment horizontal="center"/>
    </xf>
    <xf numFmtId="166" fontId="10" fillId="4" borderId="0" xfId="0" applyNumberFormat="1" applyFont="1" applyFill="1" applyBorder="1" applyAlignment="1">
      <alignment horizontal="center"/>
    </xf>
    <xf numFmtId="0" fontId="7" fillId="4" borderId="14" xfId="0" applyFont="1" applyFill="1" applyBorder="1" applyAlignment="1">
      <alignment horizontal="center"/>
    </xf>
    <xf numFmtId="0" fontId="7" fillId="4" borderId="15" xfId="0" applyFont="1" applyFill="1" applyBorder="1" applyAlignment="1">
      <alignment horizontal="center"/>
    </xf>
    <xf numFmtId="0" fontId="7" fillId="4" borderId="16" xfId="0" applyFont="1" applyFill="1" applyBorder="1" applyAlignment="1">
      <alignment horizontal="center"/>
    </xf>
    <xf numFmtId="0" fontId="7" fillId="4" borderId="17" xfId="0" applyFont="1" applyFill="1" applyBorder="1" applyAlignment="1">
      <alignment horizontal="center"/>
    </xf>
    <xf numFmtId="0" fontId="7" fillId="4" borderId="18" xfId="0" applyFont="1" applyFill="1" applyBorder="1" applyAlignment="1">
      <alignment horizontal="center"/>
    </xf>
    <xf numFmtId="1" fontId="7" fillId="4" borderId="17" xfId="0" applyNumberFormat="1" applyFont="1" applyFill="1" applyBorder="1" applyAlignment="1">
      <alignment horizontal="center"/>
    </xf>
    <xf numFmtId="1" fontId="7" fillId="4" borderId="18" xfId="0" applyNumberFormat="1" applyFont="1" applyFill="1" applyBorder="1" applyAlignment="1">
      <alignment horizontal="center"/>
    </xf>
    <xf numFmtId="1" fontId="8" fillId="4" borderId="17" xfId="0" applyNumberFormat="1" applyFont="1" applyFill="1" applyBorder="1" applyAlignment="1">
      <alignment horizontal="center"/>
    </xf>
    <xf numFmtId="1" fontId="8" fillId="4" borderId="18" xfId="0" applyNumberFormat="1" applyFont="1" applyFill="1" applyBorder="1" applyAlignment="1">
      <alignment horizontal="center"/>
    </xf>
    <xf numFmtId="166" fontId="10" fillId="4" borderId="19" xfId="0" applyNumberFormat="1" applyFont="1" applyFill="1" applyBorder="1" applyAlignment="1">
      <alignment horizontal="center"/>
    </xf>
    <xf numFmtId="166" fontId="10" fillId="4" borderId="10" xfId="0" applyNumberFormat="1" applyFont="1" applyFill="1" applyBorder="1" applyAlignment="1">
      <alignment horizontal="center"/>
    </xf>
    <xf numFmtId="166" fontId="10" fillId="4" borderId="20" xfId="0" applyNumberFormat="1" applyFont="1" applyFill="1" applyBorder="1" applyAlignment="1">
      <alignment horizontal="center"/>
    </xf>
    <xf numFmtId="166" fontId="10" fillId="4" borderId="17" xfId="0" applyNumberFormat="1" applyFont="1" applyFill="1" applyBorder="1" applyAlignment="1">
      <alignment horizontal="center"/>
    </xf>
    <xf numFmtId="166" fontId="10" fillId="4" borderId="18" xfId="0" applyNumberFormat="1" applyFont="1" applyFill="1" applyBorder="1" applyAlignment="1">
      <alignment horizontal="center"/>
    </xf>
    <xf numFmtId="0" fontId="4" fillId="0" borderId="0" xfId="0" applyFont="1" applyBorder="1"/>
    <xf numFmtId="0" fontId="7" fillId="0" borderId="14"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xf numFmtId="0" fontId="7" fillId="0" borderId="22" xfId="0" applyFont="1" applyBorder="1"/>
    <xf numFmtId="0" fontId="7" fillId="0" borderId="13" xfId="0" applyFont="1" applyBorder="1"/>
    <xf numFmtId="0" fontId="4" fillId="0" borderId="17" xfId="0" applyFont="1" applyBorder="1"/>
    <xf numFmtId="0" fontId="4" fillId="0" borderId="18" xfId="0" applyFont="1" applyBorder="1"/>
    <xf numFmtId="0" fontId="9" fillId="0" borderId="0" xfId="0" applyFont="1" applyBorder="1"/>
    <xf numFmtId="0" fontId="7" fillId="0" borderId="21" xfId="0" applyFont="1" applyBorder="1"/>
    <xf numFmtId="0" fontId="7" fillId="0" borderId="23" xfId="0" applyFont="1" applyBorder="1"/>
    <xf numFmtId="0" fontId="8" fillId="0" borderId="17" xfId="0" applyFont="1" applyBorder="1"/>
    <xf numFmtId="0" fontId="7" fillId="0" borderId="17" xfId="0" applyFont="1" applyBorder="1"/>
    <xf numFmtId="0" fontId="7" fillId="0" borderId="19" xfId="0" applyFont="1" applyBorder="1"/>
    <xf numFmtId="0" fontId="7" fillId="4" borderId="0" xfId="0" applyFont="1" applyFill="1" applyBorder="1"/>
    <xf numFmtId="0" fontId="7" fillId="4" borderId="18" xfId="0" applyFont="1" applyFill="1" applyBorder="1"/>
    <xf numFmtId="0" fontId="4" fillId="0" borderId="16" xfId="0" applyFont="1" applyBorder="1"/>
    <xf numFmtId="1" fontId="7" fillId="4" borderId="19" xfId="0" applyNumberFormat="1" applyFont="1" applyFill="1" applyBorder="1" applyAlignment="1">
      <alignment horizontal="center"/>
    </xf>
    <xf numFmtId="1" fontId="7" fillId="4" borderId="10" xfId="0" applyNumberFormat="1" applyFont="1" applyFill="1" applyBorder="1" applyAlignment="1">
      <alignment horizontal="center"/>
    </xf>
    <xf numFmtId="1" fontId="7" fillId="4" borderId="20" xfId="0" applyNumberFormat="1" applyFont="1" applyFill="1" applyBorder="1" applyAlignment="1">
      <alignment horizontal="center"/>
    </xf>
    <xf numFmtId="0" fontId="4" fillId="0" borderId="14" xfId="0" applyFont="1" applyBorder="1"/>
    <xf numFmtId="0" fontId="9" fillId="0" borderId="17" xfId="0" applyFont="1" applyBorder="1"/>
    <xf numFmtId="0" fontId="4" fillId="0" borderId="15" xfId="0" applyFont="1" applyBorder="1"/>
    <xf numFmtId="3" fontId="8" fillId="4" borderId="17" xfId="0" applyNumberFormat="1" applyFont="1" applyFill="1" applyBorder="1" applyAlignment="1">
      <alignment horizontal="center"/>
    </xf>
    <xf numFmtId="3" fontId="8" fillId="4" borderId="18" xfId="0" applyNumberFormat="1" applyFont="1" applyFill="1" applyBorder="1" applyAlignment="1">
      <alignment horizontal="center"/>
    </xf>
    <xf numFmtId="3" fontId="8" fillId="4" borderId="19" xfId="0" applyNumberFormat="1" applyFont="1" applyFill="1" applyBorder="1" applyAlignment="1">
      <alignment horizontal="center"/>
    </xf>
    <xf numFmtId="3" fontId="8" fillId="4" borderId="10" xfId="0" applyNumberFormat="1" applyFont="1" applyFill="1" applyBorder="1" applyAlignment="1">
      <alignment horizontal="center"/>
    </xf>
    <xf numFmtId="3" fontId="8" fillId="4" borderId="20" xfId="0" applyNumberFormat="1" applyFont="1" applyFill="1" applyBorder="1" applyAlignment="1">
      <alignment horizontal="center"/>
    </xf>
    <xf numFmtId="0" fontId="8" fillId="0" borderId="14" xfId="0" applyFont="1" applyBorder="1"/>
    <xf numFmtId="1" fontId="8" fillId="4" borderId="14" xfId="0" applyNumberFormat="1" applyFont="1" applyFill="1" applyBorder="1" applyAlignment="1">
      <alignment horizontal="center"/>
    </xf>
    <xf numFmtId="1" fontId="8" fillId="4" borderId="15" xfId="0" applyNumberFormat="1" applyFont="1" applyFill="1" applyBorder="1" applyAlignment="1">
      <alignment horizontal="center"/>
    </xf>
    <xf numFmtId="1" fontId="8" fillId="4" borderId="16" xfId="0" applyNumberFormat="1" applyFont="1" applyFill="1" applyBorder="1" applyAlignment="1">
      <alignment horizontal="center"/>
    </xf>
    <xf numFmtId="0" fontId="9" fillId="0" borderId="19" xfId="0" applyFont="1" applyBorder="1"/>
    <xf numFmtId="0" fontId="12" fillId="0" borderId="0" xfId="0" applyFont="1"/>
    <xf numFmtId="0" fontId="11" fillId="0" borderId="0" xfId="0" applyFont="1" applyAlignment="1">
      <alignment horizontal="right"/>
    </xf>
    <xf numFmtId="0" fontId="11" fillId="0" borderId="0" xfId="0" applyFont="1" applyAlignment="1">
      <alignment vertical="center" wrapText="1"/>
    </xf>
    <xf numFmtId="165" fontId="11" fillId="0" borderId="0" xfId="0" applyNumberFormat="1" applyFont="1"/>
    <xf numFmtId="0" fontId="12" fillId="0" borderId="0" xfId="0" applyFont="1" applyAlignment="1">
      <alignment vertical="center" wrapText="1"/>
    </xf>
    <xf numFmtId="0" fontId="13" fillId="0" borderId="0" xfId="0" applyFont="1"/>
    <xf numFmtId="0" fontId="11" fillId="5" borderId="0" xfId="0" applyFont="1" applyFill="1" applyAlignment="1">
      <alignment vertical="center" wrapText="1"/>
    </xf>
    <xf numFmtId="165" fontId="11" fillId="5" borderId="0" xfId="0" applyNumberFormat="1" applyFont="1" applyFill="1"/>
    <xf numFmtId="0" fontId="0" fillId="5" borderId="0" xfId="0" applyFill="1"/>
    <xf numFmtId="1" fontId="8" fillId="4" borderId="19" xfId="0" applyNumberFormat="1" applyFont="1" applyFill="1" applyBorder="1" applyAlignment="1">
      <alignment horizontal="center"/>
    </xf>
    <xf numFmtId="1" fontId="8" fillId="4" borderId="10" xfId="0" applyNumberFormat="1" applyFont="1" applyFill="1" applyBorder="1" applyAlignment="1">
      <alignment horizontal="center"/>
    </xf>
    <xf numFmtId="1" fontId="8" fillId="4" borderId="20" xfId="0" applyNumberFormat="1" applyFont="1" applyFill="1" applyBorder="1" applyAlignment="1">
      <alignment horizontal="center"/>
    </xf>
    <xf numFmtId="1" fontId="14" fillId="4" borderId="0" xfId="0" applyNumberFormat="1" applyFont="1" applyFill="1" applyBorder="1" applyAlignment="1">
      <alignment horizontal="center"/>
    </xf>
    <xf numFmtId="1" fontId="5" fillId="0" borderId="0" xfId="0" applyNumberFormat="1" applyFont="1"/>
    <xf numFmtId="0" fontId="15"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69776609724064"/>
          <c:y val="6.4957373393051202E-2"/>
          <c:w val="0.56373193166885704"/>
          <c:h val="0.83248002216884065"/>
        </c:manualLayout>
      </c:layout>
      <c:lineChart>
        <c:grouping val="standard"/>
        <c:varyColors val="0"/>
        <c:ser>
          <c:idx val="0"/>
          <c:order val="0"/>
          <c:tx>
            <c:strRef>
              <c:f>'calcul intermédiaire1 grahique'!$A$76</c:f>
              <c:strCache>
                <c:ptCount val="1"/>
                <c:pt idx="0">
                  <c:v>services rendus aux entreprises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'calcul intermédiaire1 grahique'!$B$75:$M$75</c:f>
              <c:numCache>
                <c:formatCode>0</c:formatCode>
                <c:ptCount val="12"/>
                <c:pt idx="0">
                  <c:v>1906</c:v>
                </c:pt>
                <c:pt idx="1">
                  <c:v>1926</c:v>
                </c:pt>
                <c:pt idx="2">
                  <c:v>1936</c:v>
                </c:pt>
                <c:pt idx="3">
                  <c:v>1954</c:v>
                </c:pt>
                <c:pt idx="4">
                  <c:v>1962</c:v>
                </c:pt>
                <c:pt idx="5">
                  <c:v>1968</c:v>
                </c:pt>
                <c:pt idx="6">
                  <c:v>1974</c:v>
                </c:pt>
                <c:pt idx="7">
                  <c:v>1980</c:v>
                </c:pt>
                <c:pt idx="8">
                  <c:v>1990</c:v>
                </c:pt>
                <c:pt idx="9">
                  <c:v>2000</c:v>
                </c:pt>
                <c:pt idx="10">
                  <c:v>2008</c:v>
                </c:pt>
                <c:pt idx="11">
                  <c:v>2011</c:v>
                </c:pt>
              </c:numCache>
            </c:numRef>
          </c:cat>
          <c:val>
            <c:numRef>
              <c:f>'calcul intermédiaire1 grahique'!$B$76:$M$76</c:f>
              <c:numCache>
                <c:formatCode>General</c:formatCode>
                <c:ptCount val="12"/>
                <c:pt idx="0">
                  <c:v>100</c:v>
                </c:pt>
                <c:pt idx="1">
                  <c:v>141.94344648384649</c:v>
                </c:pt>
                <c:pt idx="2">
                  <c:v>155.90575288939306</c:v>
                </c:pt>
                <c:pt idx="3">
                  <c:v>205.4889967153365</c:v>
                </c:pt>
                <c:pt idx="4">
                  <c:v>236.66418043894629</c:v>
                </c:pt>
                <c:pt idx="5">
                  <c:v>299.60836090947271</c:v>
                </c:pt>
                <c:pt idx="6">
                  <c:v>379.32775928841767</c:v>
                </c:pt>
                <c:pt idx="7">
                  <c:v>467.59806520298145</c:v>
                </c:pt>
                <c:pt idx="8">
                  <c:v>665.75347108047833</c:v>
                </c:pt>
                <c:pt idx="9">
                  <c:v>937.83859835967837</c:v>
                </c:pt>
                <c:pt idx="10">
                  <c:v>1086.5293793957144</c:v>
                </c:pt>
                <c:pt idx="11">
                  <c:v>1105.5610867926989</c:v>
                </c:pt>
              </c:numCache>
            </c:numRef>
          </c:val>
          <c:smooth val="0"/>
          <c:extLst>
            <c:ext xmlns:c16="http://schemas.microsoft.com/office/drawing/2014/chart" uri="{C3380CC4-5D6E-409C-BE32-E72D297353CC}">
              <c16:uniqueId val="{00000000-01C5-8443-8315-9DAAE04863EE}"/>
            </c:ext>
          </c:extLst>
        </c:ser>
        <c:ser>
          <c:idx val="1"/>
          <c:order val="1"/>
          <c:tx>
            <c:strRef>
              <c:f>'calcul intermédiaire1 grahique'!$A$77</c:f>
              <c:strCache>
                <c:ptCount val="1"/>
                <c:pt idx="0">
                  <c:v>Transports</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'calcul intermédiaire1 grahique'!$B$75:$M$75</c:f>
              <c:numCache>
                <c:formatCode>0</c:formatCode>
                <c:ptCount val="12"/>
                <c:pt idx="0">
                  <c:v>1906</c:v>
                </c:pt>
                <c:pt idx="1">
                  <c:v>1926</c:v>
                </c:pt>
                <c:pt idx="2">
                  <c:v>1936</c:v>
                </c:pt>
                <c:pt idx="3">
                  <c:v>1954</c:v>
                </c:pt>
                <c:pt idx="4">
                  <c:v>1962</c:v>
                </c:pt>
                <c:pt idx="5">
                  <c:v>1968</c:v>
                </c:pt>
                <c:pt idx="6">
                  <c:v>1974</c:v>
                </c:pt>
                <c:pt idx="7">
                  <c:v>1980</c:v>
                </c:pt>
                <c:pt idx="8">
                  <c:v>1990</c:v>
                </c:pt>
                <c:pt idx="9">
                  <c:v>2000</c:v>
                </c:pt>
                <c:pt idx="10">
                  <c:v>2008</c:v>
                </c:pt>
                <c:pt idx="11">
                  <c:v>2011</c:v>
                </c:pt>
              </c:numCache>
            </c:numRef>
          </c:cat>
          <c:val>
            <c:numRef>
              <c:f>'calcul intermédiaire1 grahique'!$B$77:$M$77</c:f>
              <c:numCache>
                <c:formatCode>General</c:formatCode>
                <c:ptCount val="12"/>
                <c:pt idx="0">
                  <c:v>100</c:v>
                </c:pt>
                <c:pt idx="1">
                  <c:v>150.40208094679414</c:v>
                </c:pt>
                <c:pt idx="2">
                  <c:v>136.65119534658751</c:v>
                </c:pt>
                <c:pt idx="3">
                  <c:v>128.03355239680272</c:v>
                </c:pt>
                <c:pt idx="4">
                  <c:v>140.73842028848546</c:v>
                </c:pt>
                <c:pt idx="5">
                  <c:v>156.49639596809195</c:v>
                </c:pt>
                <c:pt idx="6">
                  <c:v>170.35028291974598</c:v>
                </c:pt>
                <c:pt idx="7">
                  <c:v>182.31649570144717</c:v>
                </c:pt>
                <c:pt idx="8">
                  <c:v>196.30169911709794</c:v>
                </c:pt>
                <c:pt idx="9">
                  <c:v>217.03328587058022</c:v>
                </c:pt>
                <c:pt idx="10">
                  <c:v>230.83792914823547</c:v>
                </c:pt>
                <c:pt idx="11">
                  <c:v>226.1597801183523</c:v>
                </c:pt>
              </c:numCache>
            </c:numRef>
          </c:val>
          <c:smooth val="0"/>
          <c:extLst>
            <c:ext xmlns:c16="http://schemas.microsoft.com/office/drawing/2014/chart" uri="{C3380CC4-5D6E-409C-BE32-E72D297353CC}">
              <c16:uniqueId val="{00000001-01C5-8443-8315-9DAAE04863EE}"/>
            </c:ext>
          </c:extLst>
        </c:ser>
        <c:ser>
          <c:idx val="2"/>
          <c:order val="2"/>
          <c:tx>
            <c:strRef>
              <c:f>'calcul intermédiaire1 grahique'!$A$78</c:f>
              <c:strCache>
                <c:ptCount val="1"/>
                <c:pt idx="0">
                  <c:v>Commerce</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'calcul intermédiaire1 grahique'!$B$75:$M$75</c:f>
              <c:numCache>
                <c:formatCode>0</c:formatCode>
                <c:ptCount val="12"/>
                <c:pt idx="0">
                  <c:v>1906</c:v>
                </c:pt>
                <c:pt idx="1">
                  <c:v>1926</c:v>
                </c:pt>
                <c:pt idx="2">
                  <c:v>1936</c:v>
                </c:pt>
                <c:pt idx="3">
                  <c:v>1954</c:v>
                </c:pt>
                <c:pt idx="4">
                  <c:v>1962</c:v>
                </c:pt>
                <c:pt idx="5">
                  <c:v>1968</c:v>
                </c:pt>
                <c:pt idx="6">
                  <c:v>1974</c:v>
                </c:pt>
                <c:pt idx="7">
                  <c:v>1980</c:v>
                </c:pt>
                <c:pt idx="8">
                  <c:v>1990</c:v>
                </c:pt>
                <c:pt idx="9">
                  <c:v>2000</c:v>
                </c:pt>
                <c:pt idx="10">
                  <c:v>2008</c:v>
                </c:pt>
                <c:pt idx="11">
                  <c:v>2011</c:v>
                </c:pt>
              </c:numCache>
            </c:numRef>
          </c:cat>
          <c:val>
            <c:numRef>
              <c:f>'calcul intermédiaire1 grahique'!$B$78:$M$78</c:f>
              <c:numCache>
                <c:formatCode>General</c:formatCode>
                <c:ptCount val="12"/>
                <c:pt idx="0">
                  <c:v>100</c:v>
                </c:pt>
                <c:pt idx="1">
                  <c:v>128.28358208955223</c:v>
                </c:pt>
                <c:pt idx="2">
                  <c:v>140.52238805970148</c:v>
                </c:pt>
                <c:pt idx="3">
                  <c:v>148.65671641791045</c:v>
                </c:pt>
                <c:pt idx="4">
                  <c:v>175.30312342850755</c:v>
                </c:pt>
                <c:pt idx="5">
                  <c:v>201.44285000654654</c:v>
                </c:pt>
                <c:pt idx="6">
                  <c:v>222.38287247341543</c:v>
                </c:pt>
                <c:pt idx="7">
                  <c:v>235.1412518899607</c:v>
                </c:pt>
                <c:pt idx="8">
                  <c:v>249.27016034539264</c:v>
                </c:pt>
                <c:pt idx="9">
                  <c:v>264.36259224634495</c:v>
                </c:pt>
                <c:pt idx="10">
                  <c:v>287.24627407745311</c:v>
                </c:pt>
                <c:pt idx="11">
                  <c:v>287.22966160425449</c:v>
                </c:pt>
              </c:numCache>
            </c:numRef>
          </c:val>
          <c:smooth val="0"/>
          <c:extLst>
            <c:ext xmlns:c16="http://schemas.microsoft.com/office/drawing/2014/chart" uri="{C3380CC4-5D6E-409C-BE32-E72D297353CC}">
              <c16:uniqueId val="{00000002-01C5-8443-8315-9DAAE04863EE}"/>
            </c:ext>
          </c:extLst>
        </c:ser>
        <c:ser>
          <c:idx val="3"/>
          <c:order val="3"/>
          <c:tx>
            <c:strRef>
              <c:f>'calcul intermédiaire1 grahique'!$A$79</c:f>
              <c:strCache>
                <c:ptCount val="1"/>
                <c:pt idx="0">
                  <c:v>Santé et action sociale</c:v>
                </c:pt>
              </c:strCache>
            </c:strRef>
          </c:tx>
          <c:spPr>
            <a:ln w="12700">
              <a:solidFill>
                <a:srgbClr val="00FFFF"/>
              </a:solidFill>
              <a:prstDash val="solid"/>
            </a:ln>
          </c:spPr>
          <c:marker>
            <c:symbol val="x"/>
            <c:size val="5"/>
            <c:spPr>
              <a:noFill/>
              <a:ln>
                <a:solidFill>
                  <a:srgbClr val="00FFFF"/>
                </a:solidFill>
                <a:prstDash val="solid"/>
              </a:ln>
            </c:spPr>
          </c:marker>
          <c:cat>
            <c:numRef>
              <c:f>'calcul intermédiaire1 grahique'!$B$75:$M$75</c:f>
              <c:numCache>
                <c:formatCode>0</c:formatCode>
                <c:ptCount val="12"/>
                <c:pt idx="0">
                  <c:v>1906</c:v>
                </c:pt>
                <c:pt idx="1">
                  <c:v>1926</c:v>
                </c:pt>
                <c:pt idx="2">
                  <c:v>1936</c:v>
                </c:pt>
                <c:pt idx="3">
                  <c:v>1954</c:v>
                </c:pt>
                <c:pt idx="4">
                  <c:v>1962</c:v>
                </c:pt>
                <c:pt idx="5">
                  <c:v>1968</c:v>
                </c:pt>
                <c:pt idx="6">
                  <c:v>1974</c:v>
                </c:pt>
                <c:pt idx="7">
                  <c:v>1980</c:v>
                </c:pt>
                <c:pt idx="8">
                  <c:v>1990</c:v>
                </c:pt>
                <c:pt idx="9">
                  <c:v>2000</c:v>
                </c:pt>
                <c:pt idx="10">
                  <c:v>2008</c:v>
                </c:pt>
                <c:pt idx="11">
                  <c:v>2011</c:v>
                </c:pt>
              </c:numCache>
            </c:numRef>
          </c:cat>
          <c:val>
            <c:numRef>
              <c:f>'calcul intermédiaire1 grahique'!$B$79:$M$79</c:f>
              <c:numCache>
                <c:formatCode>General</c:formatCode>
                <c:ptCount val="12"/>
                <c:pt idx="0">
                  <c:v>100</c:v>
                </c:pt>
                <c:pt idx="1">
                  <c:v>145.20933678184088</c:v>
                </c:pt>
                <c:pt idx="2">
                  <c:v>184.04989494442847</c:v>
                </c:pt>
                <c:pt idx="3">
                  <c:v>261.38470989691933</c:v>
                </c:pt>
                <c:pt idx="4">
                  <c:v>301.38595708666065</c:v>
                </c:pt>
                <c:pt idx="5">
                  <c:v>336.85949955665609</c:v>
                </c:pt>
                <c:pt idx="6">
                  <c:v>383.95774544319204</c:v>
                </c:pt>
                <c:pt idx="7">
                  <c:v>435.89426567989034</c:v>
                </c:pt>
                <c:pt idx="8">
                  <c:v>541.86531892459629</c:v>
                </c:pt>
                <c:pt idx="9">
                  <c:v>681.51161797817542</c:v>
                </c:pt>
                <c:pt idx="10">
                  <c:v>789.70913375569933</c:v>
                </c:pt>
                <c:pt idx="11">
                  <c:v>834.38824246715421</c:v>
                </c:pt>
              </c:numCache>
            </c:numRef>
          </c:val>
          <c:smooth val="0"/>
          <c:extLst>
            <c:ext xmlns:c16="http://schemas.microsoft.com/office/drawing/2014/chart" uri="{C3380CC4-5D6E-409C-BE32-E72D297353CC}">
              <c16:uniqueId val="{00000003-01C5-8443-8315-9DAAE04863EE}"/>
            </c:ext>
          </c:extLst>
        </c:ser>
        <c:ser>
          <c:idx val="4"/>
          <c:order val="4"/>
          <c:tx>
            <c:strRef>
              <c:f>'calcul intermédiaire1 grahique'!$A$80</c:f>
              <c:strCache>
                <c:ptCount val="1"/>
                <c:pt idx="0">
                  <c:v>Autres activités de services aux ménages</c:v>
                </c:pt>
              </c:strCache>
            </c:strRef>
          </c:tx>
          <c:spPr>
            <a:ln w="12700">
              <a:solidFill>
                <a:srgbClr val="800080"/>
              </a:solidFill>
              <a:prstDash val="solid"/>
            </a:ln>
          </c:spPr>
          <c:marker>
            <c:symbol val="star"/>
            <c:size val="5"/>
            <c:spPr>
              <a:noFill/>
              <a:ln>
                <a:solidFill>
                  <a:srgbClr val="800080"/>
                </a:solidFill>
                <a:prstDash val="solid"/>
              </a:ln>
            </c:spPr>
          </c:marker>
          <c:cat>
            <c:numRef>
              <c:f>'calcul intermédiaire1 grahique'!$B$75:$M$75</c:f>
              <c:numCache>
                <c:formatCode>0</c:formatCode>
                <c:ptCount val="12"/>
                <c:pt idx="0">
                  <c:v>1906</c:v>
                </c:pt>
                <c:pt idx="1">
                  <c:v>1926</c:v>
                </c:pt>
                <c:pt idx="2">
                  <c:v>1936</c:v>
                </c:pt>
                <c:pt idx="3">
                  <c:v>1954</c:v>
                </c:pt>
                <c:pt idx="4">
                  <c:v>1962</c:v>
                </c:pt>
                <c:pt idx="5">
                  <c:v>1968</c:v>
                </c:pt>
                <c:pt idx="6">
                  <c:v>1974</c:v>
                </c:pt>
                <c:pt idx="7">
                  <c:v>1980</c:v>
                </c:pt>
                <c:pt idx="8">
                  <c:v>1990</c:v>
                </c:pt>
                <c:pt idx="9">
                  <c:v>2000</c:v>
                </c:pt>
                <c:pt idx="10">
                  <c:v>2008</c:v>
                </c:pt>
                <c:pt idx="11">
                  <c:v>2011</c:v>
                </c:pt>
              </c:numCache>
            </c:numRef>
          </c:cat>
          <c:val>
            <c:numRef>
              <c:f>'calcul intermédiaire1 grahique'!$B$80:$M$80</c:f>
              <c:numCache>
                <c:formatCode>General</c:formatCode>
                <c:ptCount val="12"/>
                <c:pt idx="0">
                  <c:v>100</c:v>
                </c:pt>
                <c:pt idx="1">
                  <c:v>84.183232042336414</c:v>
                </c:pt>
                <c:pt idx="2">
                  <c:v>96.073519053965839</c:v>
                </c:pt>
                <c:pt idx="3">
                  <c:v>89.414958327453363</c:v>
                </c:pt>
                <c:pt idx="4">
                  <c:v>88.747196343587134</c:v>
                </c:pt>
                <c:pt idx="5">
                  <c:v>86.662476003712086</c:v>
                </c:pt>
                <c:pt idx="6">
                  <c:v>83.225944818449307</c:v>
                </c:pt>
                <c:pt idx="7">
                  <c:v>82.883920387688548</c:v>
                </c:pt>
                <c:pt idx="8">
                  <c:v>90.53875288566725</c:v>
                </c:pt>
                <c:pt idx="9">
                  <c:v>143.56882653123887</c:v>
                </c:pt>
                <c:pt idx="10">
                  <c:v>122.28187743579596</c:v>
                </c:pt>
                <c:pt idx="11">
                  <c:v>130.49046377405398</c:v>
                </c:pt>
              </c:numCache>
            </c:numRef>
          </c:val>
          <c:smooth val="0"/>
          <c:extLst>
            <c:ext xmlns:c16="http://schemas.microsoft.com/office/drawing/2014/chart" uri="{C3380CC4-5D6E-409C-BE32-E72D297353CC}">
              <c16:uniqueId val="{00000004-01C5-8443-8315-9DAAE04863EE}"/>
            </c:ext>
          </c:extLst>
        </c:ser>
        <c:ser>
          <c:idx val="5"/>
          <c:order val="5"/>
          <c:tx>
            <c:strRef>
              <c:f>'calcul intermédiaire1 grahique'!$A$81</c:f>
              <c:strCache>
                <c:ptCount val="1"/>
                <c:pt idx="0">
                  <c:v>Activ  ménages : employeurs, produc  biens </c:v>
                </c:pt>
              </c:strCache>
            </c:strRef>
          </c:tx>
          <c:spPr>
            <a:ln w="12700">
              <a:solidFill>
                <a:srgbClr val="800000"/>
              </a:solidFill>
              <a:prstDash val="solid"/>
            </a:ln>
          </c:spPr>
          <c:marker>
            <c:symbol val="circle"/>
            <c:size val="5"/>
            <c:spPr>
              <a:solidFill>
                <a:srgbClr val="800000"/>
              </a:solidFill>
              <a:ln>
                <a:solidFill>
                  <a:srgbClr val="800000"/>
                </a:solidFill>
                <a:prstDash val="solid"/>
              </a:ln>
            </c:spPr>
          </c:marker>
          <c:cat>
            <c:numRef>
              <c:f>'calcul intermédiaire1 grahique'!$B$75:$M$75</c:f>
              <c:numCache>
                <c:formatCode>0</c:formatCode>
                <c:ptCount val="12"/>
                <c:pt idx="0">
                  <c:v>1906</c:v>
                </c:pt>
                <c:pt idx="1">
                  <c:v>1926</c:v>
                </c:pt>
                <c:pt idx="2">
                  <c:v>1936</c:v>
                </c:pt>
                <c:pt idx="3">
                  <c:v>1954</c:v>
                </c:pt>
                <c:pt idx="4">
                  <c:v>1962</c:v>
                </c:pt>
                <c:pt idx="5">
                  <c:v>1968</c:v>
                </c:pt>
                <c:pt idx="6">
                  <c:v>1974</c:v>
                </c:pt>
                <c:pt idx="7">
                  <c:v>1980</c:v>
                </c:pt>
                <c:pt idx="8">
                  <c:v>1990</c:v>
                </c:pt>
                <c:pt idx="9">
                  <c:v>2000</c:v>
                </c:pt>
                <c:pt idx="10">
                  <c:v>2008</c:v>
                </c:pt>
                <c:pt idx="11">
                  <c:v>2011</c:v>
                </c:pt>
              </c:numCache>
            </c:numRef>
          </c:cat>
          <c:val>
            <c:numRef>
              <c:f>'calcul intermédiaire1 grahique'!$B$81:$M$81</c:f>
              <c:numCache>
                <c:formatCode>General</c:formatCode>
                <c:ptCount val="12"/>
                <c:pt idx="0">
                  <c:v>100</c:v>
                </c:pt>
                <c:pt idx="1">
                  <c:v>62.994424760965622</c:v>
                </c:pt>
                <c:pt idx="2">
                  <c:v>52.692181600127967</c:v>
                </c:pt>
                <c:pt idx="3">
                  <c:v>40.959666856489456</c:v>
                </c:pt>
                <c:pt idx="4">
                  <c:v>37.652536350251765</c:v>
                </c:pt>
                <c:pt idx="5">
                  <c:v>35.707087755190315</c:v>
                </c:pt>
                <c:pt idx="6">
                  <c:v>30.681345551281577</c:v>
                </c:pt>
                <c:pt idx="7">
                  <c:v>23.66962457324761</c:v>
                </c:pt>
                <c:pt idx="8">
                  <c:v>27.155219972732702</c:v>
                </c:pt>
                <c:pt idx="9">
                  <c:v>53.74301743857248</c:v>
                </c:pt>
                <c:pt idx="10">
                  <c:v>74.899770909865723</c:v>
                </c:pt>
                <c:pt idx="11">
                  <c:v>73.886516433271225</c:v>
                </c:pt>
              </c:numCache>
            </c:numRef>
          </c:val>
          <c:smooth val="0"/>
          <c:extLst>
            <c:ext xmlns:c16="http://schemas.microsoft.com/office/drawing/2014/chart" uri="{C3380CC4-5D6E-409C-BE32-E72D297353CC}">
              <c16:uniqueId val="{00000005-01C5-8443-8315-9DAAE04863EE}"/>
            </c:ext>
          </c:extLst>
        </c:ser>
        <c:dLbls>
          <c:showLegendKey val="0"/>
          <c:showVal val="0"/>
          <c:showCatName val="0"/>
          <c:showSerName val="0"/>
          <c:showPercent val="0"/>
          <c:showBubbleSize val="0"/>
        </c:dLbls>
        <c:marker val="1"/>
        <c:smooth val="0"/>
        <c:axId val="63559168"/>
        <c:axId val="63560704"/>
      </c:lineChart>
      <c:catAx>
        <c:axId val="63559168"/>
        <c:scaling>
          <c:orientation val="minMax"/>
        </c:scaling>
        <c:delete val="0"/>
        <c:axPos val="b"/>
        <c:numFmt formatCode="0"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fr-FR"/>
          </a:p>
        </c:txPr>
        <c:crossAx val="63560704"/>
        <c:crosses val="autoZero"/>
        <c:auto val="1"/>
        <c:lblAlgn val="ctr"/>
        <c:lblOffset val="100"/>
        <c:tickLblSkip val="1"/>
        <c:tickMarkSkip val="1"/>
        <c:noMultiLvlLbl val="0"/>
      </c:catAx>
      <c:valAx>
        <c:axId val="635607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r-FR"/>
          </a:p>
        </c:txPr>
        <c:crossAx val="63559168"/>
        <c:crosses val="autoZero"/>
        <c:crossBetween val="between"/>
      </c:valAx>
      <c:spPr>
        <a:solidFill>
          <a:srgbClr val="C0C0C0"/>
        </a:solidFill>
        <a:ln w="12700">
          <a:solidFill>
            <a:srgbClr val="808080"/>
          </a:solidFill>
          <a:prstDash val="solid"/>
        </a:ln>
      </c:spPr>
    </c:plotArea>
    <c:legend>
      <c:legendPos val="r"/>
      <c:layout>
        <c:manualLayout>
          <c:xMode val="edge"/>
          <c:yMode val="edge"/>
          <c:x val="0.6864746539551092"/>
          <c:y val="0.24146564736058237"/>
          <c:w val="0.28159159862903577"/>
          <c:h val="0.44420567203125977"/>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969776609724064"/>
          <c:y val="6.4957373393051202E-2"/>
          <c:w val="0.56373193166885704"/>
          <c:h val="0.83248002216884065"/>
        </c:manualLayout>
      </c:layout>
      <c:lineChart>
        <c:grouping val="standard"/>
        <c:varyColors val="0"/>
        <c:ser>
          <c:idx val="0"/>
          <c:order val="0"/>
          <c:tx>
            <c:strRef>
              <c:f>'clacul intermédiaire2 graphique'!$A$76</c:f>
              <c:strCache>
                <c:ptCount val="1"/>
                <c:pt idx="0">
                  <c:v>services rendus aux entreprises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'clacul intermédiaire2 graphique'!$B$75:$M$75</c:f>
              <c:numCache>
                <c:formatCode>0</c:formatCode>
                <c:ptCount val="12"/>
                <c:pt idx="0">
                  <c:v>1906</c:v>
                </c:pt>
                <c:pt idx="1">
                  <c:v>1926</c:v>
                </c:pt>
                <c:pt idx="2">
                  <c:v>1936</c:v>
                </c:pt>
                <c:pt idx="3">
                  <c:v>1954</c:v>
                </c:pt>
                <c:pt idx="4">
                  <c:v>1962</c:v>
                </c:pt>
                <c:pt idx="5">
                  <c:v>1968</c:v>
                </c:pt>
                <c:pt idx="6">
                  <c:v>1974</c:v>
                </c:pt>
                <c:pt idx="7">
                  <c:v>1980</c:v>
                </c:pt>
                <c:pt idx="8">
                  <c:v>1990</c:v>
                </c:pt>
                <c:pt idx="9">
                  <c:v>2000</c:v>
                </c:pt>
                <c:pt idx="10">
                  <c:v>2008</c:v>
                </c:pt>
                <c:pt idx="11">
                  <c:v>2011</c:v>
                </c:pt>
              </c:numCache>
            </c:numRef>
          </c:cat>
          <c:val>
            <c:numRef>
              <c:f>'clacul intermédiaire2 graphique'!$B$76:$M$76</c:f>
              <c:numCache>
                <c:formatCode>0</c:formatCode>
                <c:ptCount val="12"/>
                <c:pt idx="0">
                  <c:v>336.80635511533728</c:v>
                </c:pt>
                <c:pt idx="1">
                  <c:v>478.07454842733273</c:v>
                </c:pt>
                <c:pt idx="2">
                  <c:v>525.10048372188942</c:v>
                </c:pt>
                <c:pt idx="3">
                  <c:v>692.1</c:v>
                </c:pt>
                <c:pt idx="4">
                  <c:v>797.1</c:v>
                </c:pt>
                <c:pt idx="5">
                  <c:v>1009.1</c:v>
                </c:pt>
                <c:pt idx="6">
                  <c:v>1277.5999999999999</c:v>
                </c:pt>
                <c:pt idx="7">
                  <c:v>1574.9</c:v>
                </c:pt>
                <c:pt idx="8">
                  <c:v>2242.3000000000002</c:v>
                </c:pt>
                <c:pt idx="9">
                  <c:v>3158.7</c:v>
                </c:pt>
                <c:pt idx="10">
                  <c:v>3659.5</c:v>
                </c:pt>
                <c:pt idx="11">
                  <c:v>3723.6</c:v>
                </c:pt>
              </c:numCache>
            </c:numRef>
          </c:val>
          <c:smooth val="0"/>
          <c:extLst>
            <c:ext xmlns:c16="http://schemas.microsoft.com/office/drawing/2014/chart" uri="{C3380CC4-5D6E-409C-BE32-E72D297353CC}">
              <c16:uniqueId val="{00000000-2570-4641-9F27-1AA88A3DA0BD}"/>
            </c:ext>
          </c:extLst>
        </c:ser>
        <c:ser>
          <c:idx val="1"/>
          <c:order val="1"/>
          <c:tx>
            <c:strRef>
              <c:f>'clacul intermédiaire2 graphique'!$A$77</c:f>
              <c:strCache>
                <c:ptCount val="1"/>
                <c:pt idx="0">
                  <c:v>Santé et action sociale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'clacul intermédiaire2 graphique'!$B$75:$M$75</c:f>
              <c:numCache>
                <c:formatCode>0</c:formatCode>
                <c:ptCount val="12"/>
                <c:pt idx="0">
                  <c:v>1906</c:v>
                </c:pt>
                <c:pt idx="1">
                  <c:v>1926</c:v>
                </c:pt>
                <c:pt idx="2">
                  <c:v>1936</c:v>
                </c:pt>
                <c:pt idx="3">
                  <c:v>1954</c:v>
                </c:pt>
                <c:pt idx="4">
                  <c:v>1962</c:v>
                </c:pt>
                <c:pt idx="5">
                  <c:v>1968</c:v>
                </c:pt>
                <c:pt idx="6">
                  <c:v>1974</c:v>
                </c:pt>
                <c:pt idx="7">
                  <c:v>1980</c:v>
                </c:pt>
                <c:pt idx="8">
                  <c:v>1990</c:v>
                </c:pt>
                <c:pt idx="9">
                  <c:v>2000</c:v>
                </c:pt>
                <c:pt idx="10">
                  <c:v>2008</c:v>
                </c:pt>
                <c:pt idx="11">
                  <c:v>2011</c:v>
                </c:pt>
              </c:numCache>
            </c:numRef>
          </c:cat>
          <c:val>
            <c:numRef>
              <c:f>'clacul intermédiaire2 graphique'!$B$77:$M$77</c:f>
              <c:numCache>
                <c:formatCode>0</c:formatCode>
                <c:ptCount val="12"/>
                <c:pt idx="0">
                  <c:v>467.10869133003462</c:v>
                </c:pt>
                <c:pt idx="1">
                  <c:v>678.28543273067953</c:v>
                </c:pt>
                <c:pt idx="2">
                  <c:v>859.71305566922342</c:v>
                </c:pt>
                <c:pt idx="3">
                  <c:v>1220.9506977363073</c:v>
                </c:pt>
                <c:pt idx="4">
                  <c:v>1407.8000000000002</c:v>
                </c:pt>
                <c:pt idx="5">
                  <c:v>1573.5</c:v>
                </c:pt>
                <c:pt idx="6">
                  <c:v>1793.5</c:v>
                </c:pt>
                <c:pt idx="7">
                  <c:v>2036.1</c:v>
                </c:pt>
                <c:pt idx="8">
                  <c:v>2531.1</c:v>
                </c:pt>
                <c:pt idx="9">
                  <c:v>3183.4</c:v>
                </c:pt>
                <c:pt idx="10">
                  <c:v>3688.8</c:v>
                </c:pt>
                <c:pt idx="11">
                  <c:v>3897.5</c:v>
                </c:pt>
              </c:numCache>
            </c:numRef>
          </c:val>
          <c:smooth val="0"/>
          <c:extLst>
            <c:ext xmlns:c16="http://schemas.microsoft.com/office/drawing/2014/chart" uri="{C3380CC4-5D6E-409C-BE32-E72D297353CC}">
              <c16:uniqueId val="{00000001-2570-4641-9F27-1AA88A3DA0BD}"/>
            </c:ext>
          </c:extLst>
        </c:ser>
        <c:ser>
          <c:idx val="2"/>
          <c:order val="2"/>
          <c:tx>
            <c:strRef>
              <c:f>'clacul intermédiaire2 graphique'!$A$78</c:f>
              <c:strCache>
                <c:ptCount val="1"/>
                <c:pt idx="0">
                  <c:v>Commerce</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'clacul intermédiaire2 graphique'!$B$75:$M$75</c:f>
              <c:numCache>
                <c:formatCode>0</c:formatCode>
                <c:ptCount val="12"/>
                <c:pt idx="0">
                  <c:v>1906</c:v>
                </c:pt>
                <c:pt idx="1">
                  <c:v>1926</c:v>
                </c:pt>
                <c:pt idx="2">
                  <c:v>1936</c:v>
                </c:pt>
                <c:pt idx="3">
                  <c:v>1954</c:v>
                </c:pt>
                <c:pt idx="4">
                  <c:v>1962</c:v>
                </c:pt>
                <c:pt idx="5">
                  <c:v>1968</c:v>
                </c:pt>
                <c:pt idx="6">
                  <c:v>1974</c:v>
                </c:pt>
                <c:pt idx="7">
                  <c:v>1980</c:v>
                </c:pt>
                <c:pt idx="8">
                  <c:v>1990</c:v>
                </c:pt>
                <c:pt idx="9">
                  <c:v>2000</c:v>
                </c:pt>
                <c:pt idx="10">
                  <c:v>2008</c:v>
                </c:pt>
                <c:pt idx="11">
                  <c:v>2011</c:v>
                </c:pt>
              </c:numCache>
            </c:numRef>
          </c:cat>
          <c:val>
            <c:numRef>
              <c:f>'clacul intermédiaire2 graphique'!$B$78:$M$78</c:f>
              <c:numCache>
                <c:formatCode>0</c:formatCode>
                <c:ptCount val="12"/>
                <c:pt idx="0">
                  <c:v>1203.9146586345382</c:v>
                </c:pt>
                <c:pt idx="1">
                  <c:v>1544.4248493975904</c:v>
                </c:pt>
                <c:pt idx="2">
                  <c:v>1691.7696285140562</c:v>
                </c:pt>
                <c:pt idx="3">
                  <c:v>1789.7</c:v>
                </c:pt>
                <c:pt idx="4">
                  <c:v>2110.5</c:v>
                </c:pt>
                <c:pt idx="5">
                  <c:v>2425.1999999999998</c:v>
                </c:pt>
                <c:pt idx="6">
                  <c:v>2677.3</c:v>
                </c:pt>
                <c:pt idx="7">
                  <c:v>2830.9</c:v>
                </c:pt>
                <c:pt idx="8">
                  <c:v>3001</c:v>
                </c:pt>
                <c:pt idx="9">
                  <c:v>3182.7</c:v>
                </c:pt>
                <c:pt idx="10">
                  <c:v>3458.2</c:v>
                </c:pt>
                <c:pt idx="11">
                  <c:v>3458</c:v>
                </c:pt>
              </c:numCache>
            </c:numRef>
          </c:val>
          <c:smooth val="0"/>
          <c:extLst>
            <c:ext xmlns:c16="http://schemas.microsoft.com/office/drawing/2014/chart" uri="{C3380CC4-5D6E-409C-BE32-E72D297353CC}">
              <c16:uniqueId val="{00000002-2570-4641-9F27-1AA88A3DA0BD}"/>
            </c:ext>
          </c:extLst>
        </c:ser>
        <c:ser>
          <c:idx val="3"/>
          <c:order val="3"/>
          <c:tx>
            <c:strRef>
              <c:f>'clacul intermédiaire2 graphique'!$A$79</c:f>
              <c:strCache>
                <c:ptCount val="1"/>
                <c:pt idx="0">
                  <c:v>Transports</c:v>
                </c:pt>
              </c:strCache>
            </c:strRef>
          </c:tx>
          <c:spPr>
            <a:ln w="12700">
              <a:solidFill>
                <a:srgbClr val="00FFFF"/>
              </a:solidFill>
              <a:prstDash val="solid"/>
            </a:ln>
          </c:spPr>
          <c:marker>
            <c:symbol val="x"/>
            <c:size val="5"/>
            <c:spPr>
              <a:noFill/>
              <a:ln>
                <a:solidFill>
                  <a:srgbClr val="00FFFF"/>
                </a:solidFill>
                <a:prstDash val="solid"/>
              </a:ln>
            </c:spPr>
          </c:marker>
          <c:cat>
            <c:numRef>
              <c:f>'clacul intermédiaire2 graphique'!$B$75:$M$75</c:f>
              <c:numCache>
                <c:formatCode>0</c:formatCode>
                <c:ptCount val="12"/>
                <c:pt idx="0">
                  <c:v>1906</c:v>
                </c:pt>
                <c:pt idx="1">
                  <c:v>1926</c:v>
                </c:pt>
                <c:pt idx="2">
                  <c:v>1936</c:v>
                </c:pt>
                <c:pt idx="3">
                  <c:v>1954</c:v>
                </c:pt>
                <c:pt idx="4">
                  <c:v>1962</c:v>
                </c:pt>
                <c:pt idx="5">
                  <c:v>1968</c:v>
                </c:pt>
                <c:pt idx="6">
                  <c:v>1974</c:v>
                </c:pt>
                <c:pt idx="7">
                  <c:v>1980</c:v>
                </c:pt>
                <c:pt idx="8">
                  <c:v>1990</c:v>
                </c:pt>
                <c:pt idx="9">
                  <c:v>2000</c:v>
                </c:pt>
                <c:pt idx="10">
                  <c:v>2008</c:v>
                </c:pt>
                <c:pt idx="11">
                  <c:v>2011</c:v>
                </c:pt>
              </c:numCache>
            </c:numRef>
          </c:cat>
          <c:val>
            <c:numRef>
              <c:f>'clacul intermédiaire2 graphique'!$B$79:$M$79</c:f>
              <c:numCache>
                <c:formatCode>0</c:formatCode>
                <c:ptCount val="12"/>
                <c:pt idx="0">
                  <c:v>609.21530754892831</c:v>
                </c:pt>
                <c:pt idx="1">
                  <c:v>916.27250000000004</c:v>
                </c:pt>
                <c:pt idx="2">
                  <c:v>832.5</c:v>
                </c:pt>
                <c:pt idx="3">
                  <c:v>780</c:v>
                </c:pt>
                <c:pt idx="4">
                  <c:v>857.4</c:v>
                </c:pt>
                <c:pt idx="5">
                  <c:v>953.4</c:v>
                </c:pt>
                <c:pt idx="6">
                  <c:v>1037.8</c:v>
                </c:pt>
                <c:pt idx="7">
                  <c:v>1110.7</c:v>
                </c:pt>
                <c:pt idx="8">
                  <c:v>1195.9000000000001</c:v>
                </c:pt>
                <c:pt idx="9">
                  <c:v>1322.2</c:v>
                </c:pt>
                <c:pt idx="10">
                  <c:v>1406.3</c:v>
                </c:pt>
                <c:pt idx="11">
                  <c:v>1377.8</c:v>
                </c:pt>
              </c:numCache>
            </c:numRef>
          </c:val>
          <c:smooth val="0"/>
          <c:extLst>
            <c:ext xmlns:c16="http://schemas.microsoft.com/office/drawing/2014/chart" uri="{C3380CC4-5D6E-409C-BE32-E72D297353CC}">
              <c16:uniqueId val="{00000003-2570-4641-9F27-1AA88A3DA0BD}"/>
            </c:ext>
          </c:extLst>
        </c:ser>
        <c:ser>
          <c:idx val="4"/>
          <c:order val="4"/>
          <c:tx>
            <c:strRef>
              <c:f>'clacul intermédiaire2 graphique'!$A$80</c:f>
              <c:strCache>
                <c:ptCount val="1"/>
                <c:pt idx="0">
                  <c:v>Autres activités de services aux ménages</c:v>
                </c:pt>
              </c:strCache>
            </c:strRef>
          </c:tx>
          <c:spPr>
            <a:ln w="12700">
              <a:solidFill>
                <a:srgbClr val="800080"/>
              </a:solidFill>
              <a:prstDash val="solid"/>
            </a:ln>
          </c:spPr>
          <c:marker>
            <c:symbol val="star"/>
            <c:size val="5"/>
            <c:spPr>
              <a:noFill/>
              <a:ln>
                <a:solidFill>
                  <a:srgbClr val="800080"/>
                </a:solidFill>
                <a:prstDash val="solid"/>
              </a:ln>
            </c:spPr>
          </c:marker>
          <c:cat>
            <c:numRef>
              <c:f>'clacul intermédiaire2 graphique'!$B$75:$M$75</c:f>
              <c:numCache>
                <c:formatCode>0</c:formatCode>
                <c:ptCount val="12"/>
                <c:pt idx="0">
                  <c:v>1906</c:v>
                </c:pt>
                <c:pt idx="1">
                  <c:v>1926</c:v>
                </c:pt>
                <c:pt idx="2">
                  <c:v>1936</c:v>
                </c:pt>
                <c:pt idx="3">
                  <c:v>1954</c:v>
                </c:pt>
                <c:pt idx="4">
                  <c:v>1962</c:v>
                </c:pt>
                <c:pt idx="5">
                  <c:v>1968</c:v>
                </c:pt>
                <c:pt idx="6">
                  <c:v>1974</c:v>
                </c:pt>
                <c:pt idx="7">
                  <c:v>1980</c:v>
                </c:pt>
                <c:pt idx="8">
                  <c:v>1990</c:v>
                </c:pt>
                <c:pt idx="9">
                  <c:v>2000</c:v>
                </c:pt>
                <c:pt idx="10">
                  <c:v>2008</c:v>
                </c:pt>
                <c:pt idx="11">
                  <c:v>2011</c:v>
                </c:pt>
              </c:numCache>
            </c:numRef>
          </c:cat>
          <c:val>
            <c:numRef>
              <c:f>'clacul intermédiaire2 graphique'!$B$80:$M$80</c:f>
              <c:numCache>
                <c:formatCode>0</c:formatCode>
                <c:ptCount val="12"/>
                <c:pt idx="0">
                  <c:v>613.9912272725835</c:v>
                </c:pt>
                <c:pt idx="1">
                  <c:v>516.87765957446811</c:v>
                </c:pt>
                <c:pt idx="2">
                  <c:v>589.88297872340422</c:v>
                </c:pt>
                <c:pt idx="3">
                  <c:v>549</c:v>
                </c:pt>
                <c:pt idx="4">
                  <c:v>544.9</c:v>
                </c:pt>
                <c:pt idx="5">
                  <c:v>532.1</c:v>
                </c:pt>
                <c:pt idx="6">
                  <c:v>511</c:v>
                </c:pt>
                <c:pt idx="7">
                  <c:v>508.9</c:v>
                </c:pt>
                <c:pt idx="8">
                  <c:v>555.9</c:v>
                </c:pt>
                <c:pt idx="9">
                  <c:v>881.5</c:v>
                </c:pt>
                <c:pt idx="10">
                  <c:v>750.8</c:v>
                </c:pt>
                <c:pt idx="11">
                  <c:v>801.2</c:v>
                </c:pt>
              </c:numCache>
            </c:numRef>
          </c:val>
          <c:smooth val="0"/>
          <c:extLst>
            <c:ext xmlns:c16="http://schemas.microsoft.com/office/drawing/2014/chart" uri="{C3380CC4-5D6E-409C-BE32-E72D297353CC}">
              <c16:uniqueId val="{00000004-2570-4641-9F27-1AA88A3DA0BD}"/>
            </c:ext>
          </c:extLst>
        </c:ser>
        <c:ser>
          <c:idx val="5"/>
          <c:order val="5"/>
          <c:tx>
            <c:strRef>
              <c:f>'clacul intermédiaire2 graphique'!$A$81</c:f>
              <c:strCache>
                <c:ptCount val="1"/>
                <c:pt idx="0">
                  <c:v>Activ  ménages : employeurs, produc  biens </c:v>
                </c:pt>
              </c:strCache>
            </c:strRef>
          </c:tx>
          <c:spPr>
            <a:ln w="12700">
              <a:solidFill>
                <a:srgbClr val="800000"/>
              </a:solidFill>
              <a:prstDash val="solid"/>
            </a:ln>
          </c:spPr>
          <c:marker>
            <c:symbol val="circle"/>
            <c:size val="5"/>
            <c:spPr>
              <a:solidFill>
                <a:srgbClr val="800000"/>
              </a:solidFill>
              <a:ln>
                <a:solidFill>
                  <a:srgbClr val="800000"/>
                </a:solidFill>
                <a:prstDash val="solid"/>
              </a:ln>
            </c:spPr>
          </c:marker>
          <c:cat>
            <c:numRef>
              <c:f>'clacul intermédiaire2 graphique'!$B$75:$M$75</c:f>
              <c:numCache>
                <c:formatCode>0</c:formatCode>
                <c:ptCount val="12"/>
                <c:pt idx="0">
                  <c:v>1906</c:v>
                </c:pt>
                <c:pt idx="1">
                  <c:v>1926</c:v>
                </c:pt>
                <c:pt idx="2">
                  <c:v>1936</c:v>
                </c:pt>
                <c:pt idx="3">
                  <c:v>1954</c:v>
                </c:pt>
                <c:pt idx="4">
                  <c:v>1962</c:v>
                </c:pt>
                <c:pt idx="5">
                  <c:v>1968</c:v>
                </c:pt>
                <c:pt idx="6">
                  <c:v>1974</c:v>
                </c:pt>
                <c:pt idx="7">
                  <c:v>1980</c:v>
                </c:pt>
                <c:pt idx="8">
                  <c:v>1990</c:v>
                </c:pt>
                <c:pt idx="9">
                  <c:v>2000</c:v>
                </c:pt>
                <c:pt idx="10">
                  <c:v>2008</c:v>
                </c:pt>
                <c:pt idx="11">
                  <c:v>2011</c:v>
                </c:pt>
              </c:numCache>
            </c:numRef>
          </c:cat>
          <c:val>
            <c:numRef>
              <c:f>'clacul intermédiaire2 graphique'!$B$81:$M$81</c:f>
              <c:numCache>
                <c:formatCode>0</c:formatCode>
                <c:ptCount val="12"/>
                <c:pt idx="0">
                  <c:v>246.72972661343391</c:v>
                </c:pt>
                <c:pt idx="1">
                  <c:v>155.4259719944358</c:v>
                </c:pt>
                <c:pt idx="2">
                  <c:v>130.00727560864985</c:v>
                </c:pt>
                <c:pt idx="3">
                  <c:v>101.05967405678973</c:v>
                </c:pt>
                <c:pt idx="4">
                  <c:v>92.9</c:v>
                </c:pt>
                <c:pt idx="5">
                  <c:v>88.1</c:v>
                </c:pt>
                <c:pt idx="6">
                  <c:v>75.7</c:v>
                </c:pt>
                <c:pt idx="7">
                  <c:v>58.4</c:v>
                </c:pt>
                <c:pt idx="8">
                  <c:v>67</c:v>
                </c:pt>
                <c:pt idx="9">
                  <c:v>132.6</c:v>
                </c:pt>
                <c:pt idx="10">
                  <c:v>184.8</c:v>
                </c:pt>
                <c:pt idx="11">
                  <c:v>182.3</c:v>
                </c:pt>
              </c:numCache>
            </c:numRef>
          </c:val>
          <c:smooth val="0"/>
          <c:extLst>
            <c:ext xmlns:c16="http://schemas.microsoft.com/office/drawing/2014/chart" uri="{C3380CC4-5D6E-409C-BE32-E72D297353CC}">
              <c16:uniqueId val="{00000005-2570-4641-9F27-1AA88A3DA0BD}"/>
            </c:ext>
          </c:extLst>
        </c:ser>
        <c:dLbls>
          <c:showLegendKey val="0"/>
          <c:showVal val="0"/>
          <c:showCatName val="0"/>
          <c:showSerName val="0"/>
          <c:showPercent val="0"/>
          <c:showBubbleSize val="0"/>
        </c:dLbls>
        <c:marker val="1"/>
        <c:smooth val="0"/>
        <c:axId val="64799872"/>
        <c:axId val="64801408"/>
      </c:lineChart>
      <c:catAx>
        <c:axId val="64799872"/>
        <c:scaling>
          <c:orientation val="minMax"/>
        </c:scaling>
        <c:delete val="0"/>
        <c:axPos val="b"/>
        <c:numFmt formatCode="0"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fr-FR"/>
          </a:p>
        </c:txPr>
        <c:crossAx val="64801408"/>
        <c:crosses val="autoZero"/>
        <c:auto val="1"/>
        <c:lblAlgn val="ctr"/>
        <c:lblOffset val="100"/>
        <c:tickLblSkip val="1"/>
        <c:tickMarkSkip val="1"/>
        <c:noMultiLvlLbl val="0"/>
      </c:catAx>
      <c:valAx>
        <c:axId val="6480140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r-FR"/>
          </a:p>
        </c:txPr>
        <c:crossAx val="64799872"/>
        <c:crosses val="autoZero"/>
        <c:crossBetween val="between"/>
      </c:valAx>
      <c:spPr>
        <a:solidFill>
          <a:srgbClr val="C0C0C0"/>
        </a:solidFill>
        <a:ln w="12700">
          <a:solidFill>
            <a:srgbClr val="808080"/>
          </a:solidFill>
          <a:prstDash val="solid"/>
        </a:ln>
      </c:spPr>
    </c:plotArea>
    <c:legend>
      <c:legendPos val="r"/>
      <c:layout>
        <c:manualLayout>
          <c:xMode val="edge"/>
          <c:yMode val="edge"/>
          <c:x val="0.6864746539551092"/>
          <c:y val="0.24146564736058237"/>
          <c:w val="0.28159159862903577"/>
          <c:h val="0.44420567203125977"/>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'calcul intermédiaire3 graphique'!#REF!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'calcul intermédiaire3 graphique'!#REF!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'calcul intermédiaire3 graphique'!#REF!</c15:sqref>
                        </c15:formulaRef>
                      </c:ext>
                    </c:extLst>
                    <c:strCache>
                      <c:ptCount val="1"/>
                      <c:pt idx="0">
                        <c:v>#REF!</c:v>
                      </c:pt>
                    </c:strCache>
                  </c:strRef>
                </c15:cat>
              </c15:filteredCategoryTitle>
            </c:ext>
            <c:ext xmlns:c16="http://schemas.microsoft.com/office/drawing/2014/chart" uri="{C3380CC4-5D6E-409C-BE32-E72D297353CC}">
              <c16:uniqueId val="{00000000-54E9-0F45-93E1-2C52564EF051}"/>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'calcul intermédiaire3 graphique'!#REF!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'calcul intermédiaire3 graphique'!#REF!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'calcul intermédiaire3 graphique'!#REF!</c15:sqref>
                        </c15:formulaRef>
                      </c:ext>
                    </c:extLst>
                    <c:strCache>
                      <c:ptCount val="1"/>
                      <c:pt idx="0">
                        <c:v>#REF!</c:v>
                      </c:pt>
                    </c:strCache>
                  </c:strRef>
                </c15:cat>
              </c15:filteredCategoryTitle>
            </c:ext>
            <c:ext xmlns:c16="http://schemas.microsoft.com/office/drawing/2014/chart" uri="{C3380CC4-5D6E-409C-BE32-E72D297353CC}">
              <c16:uniqueId val="{00000001-54E9-0F45-93E1-2C52564EF051}"/>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'calcul intermédiaire3 graphique'!#REF!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'calcul intermédiaire3 graphique'!#REF!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'calcul intermédiaire3 graphique'!#REF!</c15:sqref>
                        </c15:formulaRef>
                      </c:ext>
                    </c:extLst>
                    <c:strCache>
                      <c:ptCount val="1"/>
                      <c:pt idx="0">
                        <c:v>#REF!</c:v>
                      </c:pt>
                    </c:strCache>
                  </c:strRef>
                </c15:cat>
              </c15:filteredCategoryTitle>
            </c:ext>
            <c:ext xmlns:c16="http://schemas.microsoft.com/office/drawing/2014/chart" uri="{C3380CC4-5D6E-409C-BE32-E72D297353CC}">
              <c16:uniqueId val="{00000002-54E9-0F45-93E1-2C52564EF051}"/>
            </c:ext>
          </c:extLst>
        </c:ser>
        <c:ser>
          <c:idx val="3"/>
          <c:order val="3"/>
          <c:spPr>
            <a:ln w="12700">
              <a:solidFill>
                <a:srgbClr val="00FFFF"/>
              </a:solidFill>
              <a:prstDash val="solid"/>
            </a:ln>
          </c:spPr>
          <c:marker>
            <c:symbol val="x"/>
            <c:size val="5"/>
            <c:spPr>
              <a:noFill/>
              <a:ln>
                <a:solidFill>
                  <a:srgbClr val="00FFFF"/>
                </a:solidFill>
                <a:prstDash val="solid"/>
              </a:ln>
            </c:spPr>
          </c:marker>
          <c:val>
            <c:numRef>
              <c:f>'calcul intermédiaire3 graphique'!#REF!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'calcul intermédiaire3 graphique'!#REF!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'calcul intermédiaire3 graphique'!#REF!</c15:sqref>
                        </c15:formulaRef>
                      </c:ext>
                    </c:extLst>
                    <c:strCache>
                      <c:ptCount val="1"/>
                      <c:pt idx="0">
                        <c:v>#REF!</c:v>
                      </c:pt>
                    </c:strCache>
                  </c:strRef>
                </c15:cat>
              </c15:filteredCategoryTitle>
            </c:ext>
            <c:ext xmlns:c16="http://schemas.microsoft.com/office/drawing/2014/chart" uri="{C3380CC4-5D6E-409C-BE32-E72D297353CC}">
              <c16:uniqueId val="{00000003-54E9-0F45-93E1-2C52564EF051}"/>
            </c:ext>
          </c:extLst>
        </c:ser>
        <c:ser>
          <c:idx val="4"/>
          <c:order val="4"/>
          <c:spPr>
            <a:ln w="12700">
              <a:solidFill>
                <a:srgbClr val="800080"/>
              </a:solidFill>
              <a:prstDash val="solid"/>
            </a:ln>
          </c:spPr>
          <c:marker>
            <c:symbol val="star"/>
            <c:size val="5"/>
            <c:spPr>
              <a:noFill/>
              <a:ln>
                <a:solidFill>
                  <a:srgbClr val="800080"/>
                </a:solidFill>
                <a:prstDash val="solid"/>
              </a:ln>
            </c:spPr>
          </c:marker>
          <c:val>
            <c:numRef>
              <c:f>'calcul intermédiaire3 graphique'!#REF!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'calcul intermédiaire3 graphique'!#REF!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'calcul intermédiaire3 graphique'!#REF!</c15:sqref>
                        </c15:formulaRef>
                      </c:ext>
                    </c:extLst>
                    <c:strCache>
                      <c:ptCount val="1"/>
                      <c:pt idx="0">
                        <c:v>#REF!</c:v>
                      </c:pt>
                    </c:strCache>
                  </c:strRef>
                </c15:cat>
              </c15:filteredCategoryTitle>
            </c:ext>
            <c:ext xmlns:c16="http://schemas.microsoft.com/office/drawing/2014/chart" uri="{C3380CC4-5D6E-409C-BE32-E72D297353CC}">
              <c16:uniqueId val="{00000004-54E9-0F45-93E1-2C52564EF051}"/>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'calcul intermédiaire3 graphique'!#REF!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'calcul intermédiaire3 graphique'!#REF!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'calcul intermédiaire3 graphique'!#REF!</c15:sqref>
                        </c15:formulaRef>
                      </c:ext>
                    </c:extLst>
                    <c:strCache>
                      <c:ptCount val="1"/>
                      <c:pt idx="0">
                        <c:v>#REF!</c:v>
                      </c:pt>
                    </c:strCache>
                  </c:strRef>
                </c15:cat>
              </c15:filteredCategoryTitle>
            </c:ext>
            <c:ext xmlns:c16="http://schemas.microsoft.com/office/drawing/2014/chart" uri="{C3380CC4-5D6E-409C-BE32-E72D297353CC}">
              <c16:uniqueId val="{00000005-54E9-0F45-93E1-2C52564EF051}"/>
            </c:ext>
          </c:extLst>
        </c:ser>
        <c:dLbls>
          <c:showLegendKey val="0"/>
          <c:showVal val="0"/>
          <c:showCatName val="0"/>
          <c:showSerName val="0"/>
          <c:showPercent val="0"/>
          <c:showBubbleSize val="0"/>
        </c:dLbls>
        <c:marker val="1"/>
        <c:smooth val="0"/>
        <c:axId val="64905984"/>
        <c:axId val="64907520"/>
      </c:lineChart>
      <c:catAx>
        <c:axId val="64905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64907520"/>
        <c:crosses val="autoZero"/>
        <c:auto val="1"/>
        <c:lblAlgn val="ctr"/>
        <c:lblOffset val="100"/>
        <c:tickLblSkip val="1"/>
        <c:tickMarkSkip val="1"/>
        <c:noMultiLvlLbl val="0"/>
      </c:catAx>
      <c:valAx>
        <c:axId val="649075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6490598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'calcul intermédiaire4 graphique'!#REF!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'calcul intermédiaire4 graphique'!#REF!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'calcul intermédiaire4 graphique'!#REF!</c15:sqref>
                        </c15:formulaRef>
                      </c:ext>
                    </c:extLst>
                    <c:strCache>
                      <c:ptCount val="1"/>
                      <c:pt idx="0">
                        <c:v>#REF!</c:v>
                      </c:pt>
                    </c:strCache>
                  </c:strRef>
                </c15:cat>
              </c15:filteredCategoryTitle>
            </c:ext>
            <c:ext xmlns:c16="http://schemas.microsoft.com/office/drawing/2014/chart" uri="{C3380CC4-5D6E-409C-BE32-E72D297353CC}">
              <c16:uniqueId val="{00000000-739F-9148-BE83-A7D32C36C66B}"/>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'calcul intermédiaire4 graphique'!#REF!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'calcul intermédiaire4 graphique'!#REF!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'calcul intermédiaire4 graphique'!#REF!</c15:sqref>
                        </c15:formulaRef>
                      </c:ext>
                    </c:extLst>
                    <c:strCache>
                      <c:ptCount val="1"/>
                      <c:pt idx="0">
                        <c:v>#REF!</c:v>
                      </c:pt>
                    </c:strCache>
                  </c:strRef>
                </c15:cat>
              </c15:filteredCategoryTitle>
            </c:ext>
            <c:ext xmlns:c16="http://schemas.microsoft.com/office/drawing/2014/chart" uri="{C3380CC4-5D6E-409C-BE32-E72D297353CC}">
              <c16:uniqueId val="{00000001-739F-9148-BE83-A7D32C36C66B}"/>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'calcul intermédiaire4 graphique'!#REF!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'calcul intermédiaire4 graphique'!#REF!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'calcul intermédiaire4 graphique'!#REF!</c15:sqref>
                        </c15:formulaRef>
                      </c:ext>
                    </c:extLst>
                    <c:strCache>
                      <c:ptCount val="1"/>
                      <c:pt idx="0">
                        <c:v>#REF!</c:v>
                      </c:pt>
                    </c:strCache>
                  </c:strRef>
                </c15:cat>
              </c15:filteredCategoryTitle>
            </c:ext>
            <c:ext xmlns:c16="http://schemas.microsoft.com/office/drawing/2014/chart" uri="{C3380CC4-5D6E-409C-BE32-E72D297353CC}">
              <c16:uniqueId val="{00000002-739F-9148-BE83-A7D32C36C66B}"/>
            </c:ext>
          </c:extLst>
        </c:ser>
        <c:ser>
          <c:idx val="3"/>
          <c:order val="3"/>
          <c:spPr>
            <a:ln w="12700">
              <a:solidFill>
                <a:srgbClr val="00FFFF"/>
              </a:solidFill>
              <a:prstDash val="solid"/>
            </a:ln>
          </c:spPr>
          <c:marker>
            <c:symbol val="x"/>
            <c:size val="5"/>
            <c:spPr>
              <a:noFill/>
              <a:ln>
                <a:solidFill>
                  <a:srgbClr val="00FFFF"/>
                </a:solidFill>
                <a:prstDash val="solid"/>
              </a:ln>
            </c:spPr>
          </c:marker>
          <c:val>
            <c:numRef>
              <c:f>'calcul intermédiaire4 graphique'!#REF!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'calcul intermédiaire4 graphique'!#REF!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'calcul intermédiaire4 graphique'!#REF!</c15:sqref>
                        </c15:formulaRef>
                      </c:ext>
                    </c:extLst>
                    <c:strCache>
                      <c:ptCount val="1"/>
                      <c:pt idx="0">
                        <c:v>#REF!</c:v>
                      </c:pt>
                    </c:strCache>
                  </c:strRef>
                </c15:cat>
              </c15:filteredCategoryTitle>
            </c:ext>
            <c:ext xmlns:c16="http://schemas.microsoft.com/office/drawing/2014/chart" uri="{C3380CC4-5D6E-409C-BE32-E72D297353CC}">
              <c16:uniqueId val="{00000003-739F-9148-BE83-A7D32C36C66B}"/>
            </c:ext>
          </c:extLst>
        </c:ser>
        <c:ser>
          <c:idx val="4"/>
          <c:order val="4"/>
          <c:spPr>
            <a:ln w="12700">
              <a:solidFill>
                <a:srgbClr val="800080"/>
              </a:solidFill>
              <a:prstDash val="solid"/>
            </a:ln>
          </c:spPr>
          <c:marker>
            <c:symbol val="star"/>
            <c:size val="5"/>
            <c:spPr>
              <a:noFill/>
              <a:ln>
                <a:solidFill>
                  <a:srgbClr val="800080"/>
                </a:solidFill>
                <a:prstDash val="solid"/>
              </a:ln>
            </c:spPr>
          </c:marker>
          <c:val>
            <c:numRef>
              <c:f>'calcul intermédiaire4 graphique'!#REF!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'calcul intermédiaire4 graphique'!#REF!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'calcul intermédiaire4 graphique'!#REF!</c15:sqref>
                        </c15:formulaRef>
                      </c:ext>
                    </c:extLst>
                    <c:strCache>
                      <c:ptCount val="1"/>
                      <c:pt idx="0">
                        <c:v>#REF!</c:v>
                      </c:pt>
                    </c:strCache>
                  </c:strRef>
                </c15:cat>
              </c15:filteredCategoryTitle>
            </c:ext>
            <c:ext xmlns:c16="http://schemas.microsoft.com/office/drawing/2014/chart" uri="{C3380CC4-5D6E-409C-BE32-E72D297353CC}">
              <c16:uniqueId val="{00000004-739F-9148-BE83-A7D32C36C66B}"/>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'calcul intermédiaire4 graphique'!#REF!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'calcul intermédiaire4 graphique'!#REF!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'calcul intermédiaire4 graphique'!#REF!</c15:sqref>
                        </c15:formulaRef>
                      </c:ext>
                    </c:extLst>
                    <c:strCache>
                      <c:ptCount val="1"/>
                      <c:pt idx="0">
                        <c:v>#REF!</c:v>
                      </c:pt>
                    </c:strCache>
                  </c:strRef>
                </c15:cat>
              </c15:filteredCategoryTitle>
            </c:ext>
            <c:ext xmlns:c16="http://schemas.microsoft.com/office/drawing/2014/chart" uri="{C3380CC4-5D6E-409C-BE32-E72D297353CC}">
              <c16:uniqueId val="{00000005-739F-9148-BE83-A7D32C36C66B}"/>
            </c:ext>
          </c:extLst>
        </c:ser>
        <c:dLbls>
          <c:showLegendKey val="0"/>
          <c:showVal val="0"/>
          <c:showCatName val="0"/>
          <c:showSerName val="0"/>
          <c:showPercent val="0"/>
          <c:showBubbleSize val="0"/>
        </c:dLbls>
        <c:marker val="1"/>
        <c:smooth val="0"/>
        <c:axId val="64827776"/>
        <c:axId val="64829312"/>
      </c:lineChart>
      <c:catAx>
        <c:axId val="64827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64829312"/>
        <c:crosses val="autoZero"/>
        <c:auto val="1"/>
        <c:lblAlgn val="ctr"/>
        <c:lblOffset val="100"/>
        <c:tickLblSkip val="1"/>
        <c:tickMarkSkip val="1"/>
        <c:noMultiLvlLbl val="0"/>
      </c:catAx>
      <c:valAx>
        <c:axId val="648293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6482777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'graphique 2 tertiaire'!#REF!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'graphique 2 tertiaire'!#REF!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'graphique 2 tertiaire'!#REF!</c15:sqref>
                        </c15:formulaRef>
                      </c:ext>
                    </c:extLst>
                    <c:strCache>
                      <c:ptCount val="1"/>
                      <c:pt idx="0">
                        <c:v>#REF!</c:v>
                      </c:pt>
                    </c:strCache>
                  </c:strRef>
                </c15:cat>
              </c15:filteredCategoryTitle>
            </c:ext>
            <c:ext xmlns:c16="http://schemas.microsoft.com/office/drawing/2014/chart" uri="{C3380CC4-5D6E-409C-BE32-E72D297353CC}">
              <c16:uniqueId val="{00000000-A6A9-D446-B07E-9B06C23DC42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'graphique 2 tertiaire'!#REF!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'graphique 2 tertiaire'!#REF!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'graphique 2 tertiaire'!#REF!</c15:sqref>
                        </c15:formulaRef>
                      </c:ext>
                    </c:extLst>
                    <c:strCache>
                      <c:ptCount val="1"/>
                      <c:pt idx="0">
                        <c:v>#REF!</c:v>
                      </c:pt>
                    </c:strCache>
                  </c:strRef>
                </c15:cat>
              </c15:filteredCategoryTitle>
            </c:ext>
            <c:ext xmlns:c16="http://schemas.microsoft.com/office/drawing/2014/chart" uri="{C3380CC4-5D6E-409C-BE32-E72D297353CC}">
              <c16:uniqueId val="{00000001-A6A9-D446-B07E-9B06C23DC42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'graphique 2 tertiaire'!#REF!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'graphique 2 tertiaire'!#REF!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'graphique 2 tertiaire'!#REF!</c15:sqref>
                        </c15:formulaRef>
                      </c:ext>
                    </c:extLst>
                    <c:strCache>
                      <c:ptCount val="1"/>
                      <c:pt idx="0">
                        <c:v>#REF!</c:v>
                      </c:pt>
                    </c:strCache>
                  </c:strRef>
                </c15:cat>
              </c15:filteredCategoryTitle>
            </c:ext>
            <c:ext xmlns:c16="http://schemas.microsoft.com/office/drawing/2014/chart" uri="{C3380CC4-5D6E-409C-BE32-E72D297353CC}">
              <c16:uniqueId val="{00000002-A6A9-D446-B07E-9B06C23DC420}"/>
            </c:ext>
          </c:extLst>
        </c:ser>
        <c:ser>
          <c:idx val="3"/>
          <c:order val="3"/>
          <c:spPr>
            <a:ln w="12700">
              <a:solidFill>
                <a:srgbClr val="00FFFF"/>
              </a:solidFill>
              <a:prstDash val="solid"/>
            </a:ln>
          </c:spPr>
          <c:marker>
            <c:symbol val="x"/>
            <c:size val="5"/>
            <c:spPr>
              <a:noFill/>
              <a:ln>
                <a:solidFill>
                  <a:srgbClr val="00FFFF"/>
                </a:solidFill>
                <a:prstDash val="solid"/>
              </a:ln>
            </c:spPr>
          </c:marker>
          <c:val>
            <c:numRef>
              <c:f>'graphique 2 tertiaire'!#REF!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'graphique 2 tertiaire'!#REF!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'graphique 2 tertiaire'!#REF!</c15:sqref>
                        </c15:formulaRef>
                      </c:ext>
                    </c:extLst>
                    <c:strCache>
                      <c:ptCount val="1"/>
                      <c:pt idx="0">
                        <c:v>#REF!</c:v>
                      </c:pt>
                    </c:strCache>
                  </c:strRef>
                </c15:cat>
              </c15:filteredCategoryTitle>
            </c:ext>
            <c:ext xmlns:c16="http://schemas.microsoft.com/office/drawing/2014/chart" uri="{C3380CC4-5D6E-409C-BE32-E72D297353CC}">
              <c16:uniqueId val="{00000003-A6A9-D446-B07E-9B06C23DC420}"/>
            </c:ext>
          </c:extLst>
        </c:ser>
        <c:ser>
          <c:idx val="4"/>
          <c:order val="4"/>
          <c:spPr>
            <a:ln w="12700">
              <a:solidFill>
                <a:srgbClr val="800080"/>
              </a:solidFill>
              <a:prstDash val="solid"/>
            </a:ln>
          </c:spPr>
          <c:marker>
            <c:symbol val="star"/>
            <c:size val="5"/>
            <c:spPr>
              <a:noFill/>
              <a:ln>
                <a:solidFill>
                  <a:srgbClr val="800080"/>
                </a:solidFill>
                <a:prstDash val="solid"/>
              </a:ln>
            </c:spPr>
          </c:marker>
          <c:val>
            <c:numRef>
              <c:f>'graphique 2 tertiaire'!#REF!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'graphique 2 tertiaire'!#REF!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'graphique 2 tertiaire'!#REF!</c15:sqref>
                        </c15:formulaRef>
                      </c:ext>
                    </c:extLst>
                    <c:strCache>
                      <c:ptCount val="1"/>
                      <c:pt idx="0">
                        <c:v>#REF!</c:v>
                      </c:pt>
                    </c:strCache>
                  </c:strRef>
                </c15:cat>
              </c15:filteredCategoryTitle>
            </c:ext>
            <c:ext xmlns:c16="http://schemas.microsoft.com/office/drawing/2014/chart" uri="{C3380CC4-5D6E-409C-BE32-E72D297353CC}">
              <c16:uniqueId val="{00000004-A6A9-D446-B07E-9B06C23DC420}"/>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'graphique 2 tertiaire'!#REF!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'graphique 2 tertiaire'!#REF!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'graphique 2 tertiaire'!#REF!</c15:sqref>
                        </c15:formulaRef>
                      </c:ext>
                    </c:extLst>
                    <c:strCache>
                      <c:ptCount val="1"/>
                      <c:pt idx="0">
                        <c:v>#REF!</c:v>
                      </c:pt>
                    </c:strCache>
                  </c:strRef>
                </c15:cat>
              </c15:filteredCategoryTitle>
            </c:ext>
            <c:ext xmlns:c16="http://schemas.microsoft.com/office/drawing/2014/chart" uri="{C3380CC4-5D6E-409C-BE32-E72D297353CC}">
              <c16:uniqueId val="{00000005-A6A9-D446-B07E-9B06C23DC420}"/>
            </c:ext>
          </c:extLst>
        </c:ser>
        <c:dLbls>
          <c:showLegendKey val="0"/>
          <c:showVal val="0"/>
          <c:showCatName val="0"/>
          <c:showSerName val="0"/>
          <c:showPercent val="0"/>
          <c:showBubbleSize val="0"/>
        </c:dLbls>
        <c:marker val="1"/>
        <c:smooth val="0"/>
        <c:axId val="65257472"/>
        <c:axId val="65259008"/>
      </c:lineChart>
      <c:catAx>
        <c:axId val="65257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65259008"/>
        <c:crosses val="autoZero"/>
        <c:auto val="1"/>
        <c:lblAlgn val="ctr"/>
        <c:lblOffset val="100"/>
        <c:tickLblSkip val="1"/>
        <c:tickMarkSkip val="1"/>
        <c:noMultiLvlLbl val="0"/>
      </c:catAx>
      <c:valAx>
        <c:axId val="652590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6525747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92307692307694E-2"/>
          <c:y val="2.8800022500017588E-2"/>
          <c:w val="0.50923076923076893"/>
          <c:h val="0.84640066125051661"/>
        </c:manualLayout>
      </c:layout>
      <c:lineChart>
        <c:grouping val="standard"/>
        <c:varyColors val="0"/>
        <c:ser>
          <c:idx val="0"/>
          <c:order val="0"/>
          <c:tx>
            <c:strRef>
              <c:f>'graphique 2 tertiaire'!$A$10</c:f>
              <c:strCache>
                <c:ptCount val="1"/>
                <c:pt idx="0">
                  <c:v>services rendus aux entreprises</c:v>
                </c:pt>
              </c:strCache>
            </c:strRef>
          </c:tx>
          <c:spPr>
            <a:ln w="38100">
              <a:solidFill>
                <a:srgbClr val="000080"/>
              </a:solidFill>
              <a:prstDash val="solid"/>
            </a:ln>
          </c:spPr>
          <c:marker>
            <c:symbol val="none"/>
          </c:marker>
          <c:cat>
            <c:numRef>
              <c:f>'graphique 2 tertiaire'!$B$1:$DH$1</c:f>
              <c:numCache>
                <c:formatCode>General</c:formatCode>
                <c:ptCount val="111"/>
                <c:pt idx="0">
                  <c:v>1906</c:v>
                </c:pt>
                <c:pt idx="1">
                  <c:v>1907</c:v>
                </c:pt>
                <c:pt idx="2">
                  <c:v>1908</c:v>
                </c:pt>
                <c:pt idx="3">
                  <c:v>1909</c:v>
                </c:pt>
                <c:pt idx="4">
                  <c:v>1910</c:v>
                </c:pt>
                <c:pt idx="5">
                  <c:v>1911</c:v>
                </c:pt>
                <c:pt idx="6">
                  <c:v>1912</c:v>
                </c:pt>
                <c:pt idx="7">
                  <c:v>1913</c:v>
                </c:pt>
                <c:pt idx="8">
                  <c:v>1914</c:v>
                </c:pt>
                <c:pt idx="9">
                  <c:v>1915</c:v>
                </c:pt>
                <c:pt idx="10">
                  <c:v>1916</c:v>
                </c:pt>
                <c:pt idx="11">
                  <c:v>1917</c:v>
                </c:pt>
                <c:pt idx="12">
                  <c:v>1918</c:v>
                </c:pt>
                <c:pt idx="13">
                  <c:v>1919</c:v>
                </c:pt>
                <c:pt idx="14">
                  <c:v>1920</c:v>
                </c:pt>
                <c:pt idx="15">
                  <c:v>1921</c:v>
                </c:pt>
                <c:pt idx="16">
                  <c:v>1922</c:v>
                </c:pt>
                <c:pt idx="17">
                  <c:v>1923</c:v>
                </c:pt>
                <c:pt idx="18">
                  <c:v>1924</c:v>
                </c:pt>
                <c:pt idx="19">
                  <c:v>1925</c:v>
                </c:pt>
                <c:pt idx="20">
                  <c:v>1926</c:v>
                </c:pt>
                <c:pt idx="21">
                  <c:v>1927</c:v>
                </c:pt>
                <c:pt idx="22">
                  <c:v>1928</c:v>
                </c:pt>
                <c:pt idx="23">
                  <c:v>1929</c:v>
                </c:pt>
                <c:pt idx="24">
                  <c:v>1930</c:v>
                </c:pt>
                <c:pt idx="25">
                  <c:v>1931</c:v>
                </c:pt>
                <c:pt idx="26">
                  <c:v>1932</c:v>
                </c:pt>
                <c:pt idx="27">
                  <c:v>1933</c:v>
                </c:pt>
                <c:pt idx="28">
                  <c:v>1934</c:v>
                </c:pt>
                <c:pt idx="29">
                  <c:v>1935</c:v>
                </c:pt>
                <c:pt idx="30">
                  <c:v>1936</c:v>
                </c:pt>
                <c:pt idx="31">
                  <c:v>1937</c:v>
                </c:pt>
                <c:pt idx="32">
                  <c:v>1938</c:v>
                </c:pt>
                <c:pt idx="33">
                  <c:v>1939</c:v>
                </c:pt>
                <c:pt idx="34">
                  <c:v>1940</c:v>
                </c:pt>
                <c:pt idx="35">
                  <c:v>1941</c:v>
                </c:pt>
                <c:pt idx="36">
                  <c:v>1942</c:v>
                </c:pt>
                <c:pt idx="37">
                  <c:v>1943</c:v>
                </c:pt>
                <c:pt idx="38">
                  <c:v>1944</c:v>
                </c:pt>
                <c:pt idx="39">
                  <c:v>1945</c:v>
                </c:pt>
                <c:pt idx="40">
                  <c:v>1946</c:v>
                </c:pt>
                <c:pt idx="41">
                  <c:v>1947</c:v>
                </c:pt>
                <c:pt idx="42">
                  <c:v>1948</c:v>
                </c:pt>
                <c:pt idx="43">
                  <c:v>1949</c:v>
                </c:pt>
                <c:pt idx="44">
                  <c:v>1950</c:v>
                </c:pt>
                <c:pt idx="45">
                  <c:v>1951</c:v>
                </c:pt>
                <c:pt idx="46">
                  <c:v>1952</c:v>
                </c:pt>
                <c:pt idx="47">
                  <c:v>1953</c:v>
                </c:pt>
                <c:pt idx="48">
                  <c:v>1954</c:v>
                </c:pt>
                <c:pt idx="49">
                  <c:v>1955</c:v>
                </c:pt>
                <c:pt idx="50">
                  <c:v>1956</c:v>
                </c:pt>
                <c:pt idx="51">
                  <c:v>1957</c:v>
                </c:pt>
                <c:pt idx="52">
                  <c:v>1958</c:v>
                </c:pt>
                <c:pt idx="53">
                  <c:v>1959</c:v>
                </c:pt>
                <c:pt idx="54">
                  <c:v>1960</c:v>
                </c:pt>
                <c:pt idx="55">
                  <c:v>1961</c:v>
                </c:pt>
                <c:pt idx="56">
                  <c:v>1962</c:v>
                </c:pt>
                <c:pt idx="57">
                  <c:v>1963</c:v>
                </c:pt>
                <c:pt idx="58">
                  <c:v>1964</c:v>
                </c:pt>
                <c:pt idx="59">
                  <c:v>1965</c:v>
                </c:pt>
                <c:pt idx="60">
                  <c:v>1966</c:v>
                </c:pt>
                <c:pt idx="61">
                  <c:v>1967</c:v>
                </c:pt>
                <c:pt idx="62">
                  <c:v>1968</c:v>
                </c:pt>
                <c:pt idx="63">
                  <c:v>1969</c:v>
                </c:pt>
                <c:pt idx="64">
                  <c:v>1970</c:v>
                </c:pt>
                <c:pt idx="65">
                  <c:v>1971</c:v>
                </c:pt>
                <c:pt idx="66">
                  <c:v>1972</c:v>
                </c:pt>
                <c:pt idx="67">
                  <c:v>1973</c:v>
                </c:pt>
                <c:pt idx="68">
                  <c:v>1974</c:v>
                </c:pt>
                <c:pt idx="69">
                  <c:v>1975</c:v>
                </c:pt>
                <c:pt idx="70">
                  <c:v>1976</c:v>
                </c:pt>
                <c:pt idx="71">
                  <c:v>1977</c:v>
                </c:pt>
                <c:pt idx="72">
                  <c:v>1978</c:v>
                </c:pt>
                <c:pt idx="73">
                  <c:v>1979</c:v>
                </c:pt>
                <c:pt idx="74">
                  <c:v>1980</c:v>
                </c:pt>
                <c:pt idx="75">
                  <c:v>1981</c:v>
                </c:pt>
                <c:pt idx="76">
                  <c:v>1982</c:v>
                </c:pt>
                <c:pt idx="77">
                  <c:v>1983</c:v>
                </c:pt>
                <c:pt idx="78">
                  <c:v>1984</c:v>
                </c:pt>
                <c:pt idx="79">
                  <c:v>1985</c:v>
                </c:pt>
                <c:pt idx="80">
                  <c:v>1986</c:v>
                </c:pt>
                <c:pt idx="81">
                  <c:v>1987</c:v>
                </c:pt>
                <c:pt idx="82">
                  <c:v>1988</c:v>
                </c:pt>
                <c:pt idx="83">
                  <c:v>1989</c:v>
                </c:pt>
                <c:pt idx="84">
                  <c:v>1990</c:v>
                </c:pt>
                <c:pt idx="85">
                  <c:v>1991</c:v>
                </c:pt>
                <c:pt idx="86">
                  <c:v>1992</c:v>
                </c:pt>
                <c:pt idx="87">
                  <c:v>1993</c:v>
                </c:pt>
                <c:pt idx="88">
                  <c:v>1994</c:v>
                </c:pt>
                <c:pt idx="89">
                  <c:v>1995</c:v>
                </c:pt>
                <c:pt idx="90">
                  <c:v>1996</c:v>
                </c:pt>
                <c:pt idx="91">
                  <c:v>1997</c:v>
                </c:pt>
                <c:pt idx="92">
                  <c:v>1998</c:v>
                </c:pt>
                <c:pt idx="93">
                  <c:v>1999</c:v>
                </c:pt>
                <c:pt idx="94">
                  <c:v>2000</c:v>
                </c:pt>
                <c:pt idx="95">
                  <c:v>2001</c:v>
                </c:pt>
                <c:pt idx="96">
                  <c:v>2002</c:v>
                </c:pt>
                <c:pt idx="97">
                  <c:v>2003</c:v>
                </c:pt>
                <c:pt idx="98">
                  <c:v>2004</c:v>
                </c:pt>
                <c:pt idx="99">
                  <c:v>2005</c:v>
                </c:pt>
                <c:pt idx="100">
                  <c:v>2006</c:v>
                </c:pt>
                <c:pt idx="101">
                  <c:v>2007</c:v>
                </c:pt>
                <c:pt idx="102">
                  <c:v>2008</c:v>
                </c:pt>
                <c:pt idx="103">
                  <c:v>2009</c:v>
                </c:pt>
                <c:pt idx="104">
                  <c:v>2010</c:v>
                </c:pt>
                <c:pt idx="105">
                  <c:v>2011</c:v>
                </c:pt>
                <c:pt idx="106">
                  <c:v>2012</c:v>
                </c:pt>
                <c:pt idx="107">
                  <c:v>2013</c:v>
                </c:pt>
                <c:pt idx="108">
                  <c:v>2014</c:v>
                </c:pt>
                <c:pt idx="109">
                  <c:v>2015</c:v>
                </c:pt>
                <c:pt idx="110">
                  <c:v>2016</c:v>
                </c:pt>
              </c:numCache>
            </c:numRef>
          </c:cat>
          <c:val>
            <c:numRef>
              <c:f>'graphique 2 tertiaire'!$B$10:$DH$10</c:f>
              <c:numCache>
                <c:formatCode>General</c:formatCode>
                <c:ptCount val="111"/>
                <c:pt idx="0">
                  <c:v>336.80635511533728</c:v>
                </c:pt>
                <c:pt idx="1">
                  <c:v>343.86976478093703</c:v>
                </c:pt>
                <c:pt idx="2">
                  <c:v>350.93317444653684</c:v>
                </c:pt>
                <c:pt idx="3">
                  <c:v>357.99658411213659</c:v>
                </c:pt>
                <c:pt idx="4">
                  <c:v>365.05999377773639</c:v>
                </c:pt>
                <c:pt idx="5">
                  <c:v>372.12340344333614</c:v>
                </c:pt>
                <c:pt idx="6">
                  <c:v>379.18681310893589</c:v>
                </c:pt>
                <c:pt idx="7">
                  <c:v>386.2502227745357</c:v>
                </c:pt>
                <c:pt idx="8">
                  <c:v>393.31363244013545</c:v>
                </c:pt>
                <c:pt idx="9">
                  <c:v>400.37704210573526</c:v>
                </c:pt>
                <c:pt idx="10">
                  <c:v>407.44045177133501</c:v>
                </c:pt>
                <c:pt idx="11">
                  <c:v>414.50386143693481</c:v>
                </c:pt>
                <c:pt idx="12">
                  <c:v>421.56727110253456</c:v>
                </c:pt>
                <c:pt idx="13">
                  <c:v>428.63068076813431</c:v>
                </c:pt>
                <c:pt idx="14">
                  <c:v>435.69409043373412</c:v>
                </c:pt>
                <c:pt idx="15">
                  <c:v>442.75750009933387</c:v>
                </c:pt>
                <c:pt idx="16">
                  <c:v>449.82090976493362</c:v>
                </c:pt>
                <c:pt idx="17">
                  <c:v>456.88431943053342</c:v>
                </c:pt>
                <c:pt idx="18">
                  <c:v>463.94772909613317</c:v>
                </c:pt>
                <c:pt idx="19">
                  <c:v>471.01113876173292</c:v>
                </c:pt>
                <c:pt idx="20">
                  <c:v>478.07454842733273</c:v>
                </c:pt>
                <c:pt idx="21">
                  <c:v>482.7771419567884</c:v>
                </c:pt>
                <c:pt idx="22">
                  <c:v>487.47973548624407</c:v>
                </c:pt>
                <c:pt idx="23">
                  <c:v>492.18232901569974</c:v>
                </c:pt>
                <c:pt idx="24">
                  <c:v>496.8849225451554</c:v>
                </c:pt>
                <c:pt idx="25">
                  <c:v>501.58751607461107</c:v>
                </c:pt>
                <c:pt idx="26">
                  <c:v>506.29010960406674</c:v>
                </c:pt>
                <c:pt idx="27">
                  <c:v>510.99270313352241</c:v>
                </c:pt>
                <c:pt idx="28">
                  <c:v>515.69529666297808</c:v>
                </c:pt>
                <c:pt idx="29">
                  <c:v>520.39789019243381</c:v>
                </c:pt>
                <c:pt idx="30">
                  <c:v>525.10048372188942</c:v>
                </c:pt>
                <c:pt idx="31">
                  <c:v>534.37823462622885</c:v>
                </c:pt>
                <c:pt idx="32">
                  <c:v>543.65598553056839</c:v>
                </c:pt>
                <c:pt idx="33">
                  <c:v>552.93373643490781</c:v>
                </c:pt>
                <c:pt idx="34">
                  <c:v>562.21148733924736</c:v>
                </c:pt>
                <c:pt idx="35">
                  <c:v>571.48923824358678</c:v>
                </c:pt>
                <c:pt idx="36">
                  <c:v>580.76698914792632</c:v>
                </c:pt>
                <c:pt idx="37">
                  <c:v>590.04474005226575</c:v>
                </c:pt>
                <c:pt idx="38">
                  <c:v>599.32249095660518</c:v>
                </c:pt>
                <c:pt idx="39">
                  <c:v>608.60024186094472</c:v>
                </c:pt>
                <c:pt idx="40">
                  <c:v>617.87799276528426</c:v>
                </c:pt>
                <c:pt idx="41">
                  <c:v>627.15574366962369</c:v>
                </c:pt>
                <c:pt idx="42">
                  <c:v>636.43349457396312</c:v>
                </c:pt>
                <c:pt idx="43">
                  <c:v>645.71124547830266</c:v>
                </c:pt>
                <c:pt idx="44">
                  <c:v>654.98899638264209</c:v>
                </c:pt>
                <c:pt idx="45">
                  <c:v>664.26674728698163</c:v>
                </c:pt>
                <c:pt idx="46">
                  <c:v>673.54449819132105</c:v>
                </c:pt>
                <c:pt idx="47">
                  <c:v>682.82224909566048</c:v>
                </c:pt>
                <c:pt idx="48">
                  <c:v>692.1</c:v>
                </c:pt>
                <c:pt idx="49">
                  <c:v>705.22500000000002</c:v>
                </c:pt>
                <c:pt idx="50">
                  <c:v>718.35</c:v>
                </c:pt>
                <c:pt idx="51">
                  <c:v>731.47500000000002</c:v>
                </c:pt>
                <c:pt idx="52">
                  <c:v>744.6</c:v>
                </c:pt>
                <c:pt idx="53">
                  <c:v>757.72500000000002</c:v>
                </c:pt>
                <c:pt idx="54">
                  <c:v>770.85</c:v>
                </c:pt>
                <c:pt idx="55">
                  <c:v>783.97500000000002</c:v>
                </c:pt>
                <c:pt idx="56">
                  <c:v>797.1</c:v>
                </c:pt>
                <c:pt idx="57">
                  <c:v>797.31008819740362</c:v>
                </c:pt>
                <c:pt idx="58">
                  <c:v>797.52017639480732</c:v>
                </c:pt>
                <c:pt idx="59">
                  <c:v>797.73026459221091</c:v>
                </c:pt>
                <c:pt idx="60">
                  <c:v>797.94035278961451</c:v>
                </c:pt>
                <c:pt idx="61">
                  <c:v>798.15044098701821</c:v>
                </c:pt>
                <c:pt idx="62">
                  <c:v>1009.1</c:v>
                </c:pt>
                <c:pt idx="63">
                  <c:v>1053.8499999999999</c:v>
                </c:pt>
                <c:pt idx="64">
                  <c:v>1098.5999999999999</c:v>
                </c:pt>
                <c:pt idx="65">
                  <c:v>1143.3499999999999</c:v>
                </c:pt>
                <c:pt idx="66">
                  <c:v>1188.0999999999999</c:v>
                </c:pt>
                <c:pt idx="67">
                  <c:v>1232.8499999999999</c:v>
                </c:pt>
                <c:pt idx="68">
                  <c:v>1277.5999999999999</c:v>
                </c:pt>
                <c:pt idx="69">
                  <c:v>1277.7887738904055</c:v>
                </c:pt>
                <c:pt idx="70">
                  <c:v>1277.9775477808114</c:v>
                </c:pt>
                <c:pt idx="71">
                  <c:v>1278.166321671217</c:v>
                </c:pt>
                <c:pt idx="72">
                  <c:v>1278.3550955616229</c:v>
                </c:pt>
                <c:pt idx="73">
                  <c:v>1278.5438694520285</c:v>
                </c:pt>
                <c:pt idx="74">
                  <c:v>1574.9</c:v>
                </c:pt>
                <c:pt idx="75">
                  <c:v>1641.64</c:v>
                </c:pt>
                <c:pt idx="76">
                  <c:v>1708.38</c:v>
                </c:pt>
                <c:pt idx="77">
                  <c:v>1775.1200000000001</c:v>
                </c:pt>
                <c:pt idx="78">
                  <c:v>1841.8600000000001</c:v>
                </c:pt>
                <c:pt idx="79">
                  <c:v>1908.6000000000001</c:v>
                </c:pt>
                <c:pt idx="80">
                  <c:v>1975.3400000000001</c:v>
                </c:pt>
                <c:pt idx="81">
                  <c:v>2042.0800000000002</c:v>
                </c:pt>
                <c:pt idx="82">
                  <c:v>2108.8200000000002</c:v>
                </c:pt>
                <c:pt idx="83">
                  <c:v>2175.5600000000004</c:v>
                </c:pt>
                <c:pt idx="84">
                  <c:v>2242.3000000000002</c:v>
                </c:pt>
                <c:pt idx="85">
                  <c:v>2333.94</c:v>
                </c:pt>
                <c:pt idx="86">
                  <c:v>2425.58</c:v>
                </c:pt>
                <c:pt idx="87">
                  <c:v>2517.2200000000003</c:v>
                </c:pt>
                <c:pt idx="88">
                  <c:v>2608.86</c:v>
                </c:pt>
                <c:pt idx="89">
                  <c:v>2700.5</c:v>
                </c:pt>
                <c:pt idx="90">
                  <c:v>2792.14</c:v>
                </c:pt>
                <c:pt idx="91">
                  <c:v>2883.7799999999997</c:v>
                </c:pt>
                <c:pt idx="92">
                  <c:v>2975.42</c:v>
                </c:pt>
                <c:pt idx="93">
                  <c:v>3067.06</c:v>
                </c:pt>
                <c:pt idx="94">
                  <c:v>3158.7</c:v>
                </c:pt>
                <c:pt idx="95">
                  <c:v>3221.2999999999997</c:v>
                </c:pt>
                <c:pt idx="96">
                  <c:v>3283.8999999999996</c:v>
                </c:pt>
                <c:pt idx="97">
                  <c:v>3346.5</c:v>
                </c:pt>
                <c:pt idx="98">
                  <c:v>3409.1</c:v>
                </c:pt>
                <c:pt idx="99">
                  <c:v>3471.7</c:v>
                </c:pt>
                <c:pt idx="100">
                  <c:v>3534.3</c:v>
                </c:pt>
                <c:pt idx="101">
                  <c:v>3596.9</c:v>
                </c:pt>
                <c:pt idx="102">
                  <c:v>3659.5</c:v>
                </c:pt>
                <c:pt idx="103">
                  <c:v>3680.8666666666668</c:v>
                </c:pt>
                <c:pt idx="104">
                  <c:v>3702.2333333333331</c:v>
                </c:pt>
                <c:pt idx="105">
                  <c:v>3723.6</c:v>
                </c:pt>
                <c:pt idx="106">
                  <c:v>3788.2999999999997</c:v>
                </c:pt>
                <c:pt idx="107">
                  <c:v>3853</c:v>
                </c:pt>
                <c:pt idx="108">
                  <c:v>3917.7</c:v>
                </c:pt>
                <c:pt idx="109">
                  <c:v>3982.4</c:v>
                </c:pt>
                <c:pt idx="110">
                  <c:v>4047.1</c:v>
                </c:pt>
              </c:numCache>
            </c:numRef>
          </c:val>
          <c:smooth val="0"/>
          <c:extLst>
            <c:ext xmlns:c16="http://schemas.microsoft.com/office/drawing/2014/chart" uri="{C3380CC4-5D6E-409C-BE32-E72D297353CC}">
              <c16:uniqueId val="{00000000-3C0F-FD47-A6C9-AAA3E7A897DA}"/>
            </c:ext>
          </c:extLst>
        </c:ser>
        <c:ser>
          <c:idx val="1"/>
          <c:order val="1"/>
          <c:tx>
            <c:strRef>
              <c:f>'graphique 2 tertiaire'!$A$11</c:f>
              <c:strCache>
                <c:ptCount val="1"/>
                <c:pt idx="0">
                  <c:v>Santé et action sociale</c:v>
                </c:pt>
              </c:strCache>
            </c:strRef>
          </c:tx>
          <c:spPr>
            <a:ln w="38100">
              <a:solidFill>
                <a:srgbClr val="FF00FF"/>
              </a:solidFill>
              <a:prstDash val="solid"/>
            </a:ln>
          </c:spPr>
          <c:marker>
            <c:symbol val="none"/>
          </c:marker>
          <c:cat>
            <c:numRef>
              <c:f>'graphique 2 tertiaire'!$B$1:$DH$1</c:f>
              <c:numCache>
                <c:formatCode>General</c:formatCode>
                <c:ptCount val="111"/>
                <c:pt idx="0">
                  <c:v>1906</c:v>
                </c:pt>
                <c:pt idx="1">
                  <c:v>1907</c:v>
                </c:pt>
                <c:pt idx="2">
                  <c:v>1908</c:v>
                </c:pt>
                <c:pt idx="3">
                  <c:v>1909</c:v>
                </c:pt>
                <c:pt idx="4">
                  <c:v>1910</c:v>
                </c:pt>
                <c:pt idx="5">
                  <c:v>1911</c:v>
                </c:pt>
                <c:pt idx="6">
                  <c:v>1912</c:v>
                </c:pt>
                <c:pt idx="7">
                  <c:v>1913</c:v>
                </c:pt>
                <c:pt idx="8">
                  <c:v>1914</c:v>
                </c:pt>
                <c:pt idx="9">
                  <c:v>1915</c:v>
                </c:pt>
                <c:pt idx="10">
                  <c:v>1916</c:v>
                </c:pt>
                <c:pt idx="11">
                  <c:v>1917</c:v>
                </c:pt>
                <c:pt idx="12">
                  <c:v>1918</c:v>
                </c:pt>
                <c:pt idx="13">
                  <c:v>1919</c:v>
                </c:pt>
                <c:pt idx="14">
                  <c:v>1920</c:v>
                </c:pt>
                <c:pt idx="15">
                  <c:v>1921</c:v>
                </c:pt>
                <c:pt idx="16">
                  <c:v>1922</c:v>
                </c:pt>
                <c:pt idx="17">
                  <c:v>1923</c:v>
                </c:pt>
                <c:pt idx="18">
                  <c:v>1924</c:v>
                </c:pt>
                <c:pt idx="19">
                  <c:v>1925</c:v>
                </c:pt>
                <c:pt idx="20">
                  <c:v>1926</c:v>
                </c:pt>
                <c:pt idx="21">
                  <c:v>1927</c:v>
                </c:pt>
                <c:pt idx="22">
                  <c:v>1928</c:v>
                </c:pt>
                <c:pt idx="23">
                  <c:v>1929</c:v>
                </c:pt>
                <c:pt idx="24">
                  <c:v>1930</c:v>
                </c:pt>
                <c:pt idx="25">
                  <c:v>1931</c:v>
                </c:pt>
                <c:pt idx="26">
                  <c:v>1932</c:v>
                </c:pt>
                <c:pt idx="27">
                  <c:v>1933</c:v>
                </c:pt>
                <c:pt idx="28">
                  <c:v>1934</c:v>
                </c:pt>
                <c:pt idx="29">
                  <c:v>1935</c:v>
                </c:pt>
                <c:pt idx="30">
                  <c:v>1936</c:v>
                </c:pt>
                <c:pt idx="31">
                  <c:v>1937</c:v>
                </c:pt>
                <c:pt idx="32">
                  <c:v>1938</c:v>
                </c:pt>
                <c:pt idx="33">
                  <c:v>1939</c:v>
                </c:pt>
                <c:pt idx="34">
                  <c:v>1940</c:v>
                </c:pt>
                <c:pt idx="35">
                  <c:v>1941</c:v>
                </c:pt>
                <c:pt idx="36">
                  <c:v>1942</c:v>
                </c:pt>
                <c:pt idx="37">
                  <c:v>1943</c:v>
                </c:pt>
                <c:pt idx="38">
                  <c:v>1944</c:v>
                </c:pt>
                <c:pt idx="39">
                  <c:v>1945</c:v>
                </c:pt>
                <c:pt idx="40">
                  <c:v>1946</c:v>
                </c:pt>
                <c:pt idx="41">
                  <c:v>1947</c:v>
                </c:pt>
                <c:pt idx="42">
                  <c:v>1948</c:v>
                </c:pt>
                <c:pt idx="43">
                  <c:v>1949</c:v>
                </c:pt>
                <c:pt idx="44">
                  <c:v>1950</c:v>
                </c:pt>
                <c:pt idx="45">
                  <c:v>1951</c:v>
                </c:pt>
                <c:pt idx="46">
                  <c:v>1952</c:v>
                </c:pt>
                <c:pt idx="47">
                  <c:v>1953</c:v>
                </c:pt>
                <c:pt idx="48">
                  <c:v>1954</c:v>
                </c:pt>
                <c:pt idx="49">
                  <c:v>1955</c:v>
                </c:pt>
                <c:pt idx="50">
                  <c:v>1956</c:v>
                </c:pt>
                <c:pt idx="51">
                  <c:v>1957</c:v>
                </c:pt>
                <c:pt idx="52">
                  <c:v>1958</c:v>
                </c:pt>
                <c:pt idx="53">
                  <c:v>1959</c:v>
                </c:pt>
                <c:pt idx="54">
                  <c:v>1960</c:v>
                </c:pt>
                <c:pt idx="55">
                  <c:v>1961</c:v>
                </c:pt>
                <c:pt idx="56">
                  <c:v>1962</c:v>
                </c:pt>
                <c:pt idx="57">
                  <c:v>1963</c:v>
                </c:pt>
                <c:pt idx="58">
                  <c:v>1964</c:v>
                </c:pt>
                <c:pt idx="59">
                  <c:v>1965</c:v>
                </c:pt>
                <c:pt idx="60">
                  <c:v>1966</c:v>
                </c:pt>
                <c:pt idx="61">
                  <c:v>1967</c:v>
                </c:pt>
                <c:pt idx="62">
                  <c:v>1968</c:v>
                </c:pt>
                <c:pt idx="63">
                  <c:v>1969</c:v>
                </c:pt>
                <c:pt idx="64">
                  <c:v>1970</c:v>
                </c:pt>
                <c:pt idx="65">
                  <c:v>1971</c:v>
                </c:pt>
                <c:pt idx="66">
                  <c:v>1972</c:v>
                </c:pt>
                <c:pt idx="67">
                  <c:v>1973</c:v>
                </c:pt>
                <c:pt idx="68">
                  <c:v>1974</c:v>
                </c:pt>
                <c:pt idx="69">
                  <c:v>1975</c:v>
                </c:pt>
                <c:pt idx="70">
                  <c:v>1976</c:v>
                </c:pt>
                <c:pt idx="71">
                  <c:v>1977</c:v>
                </c:pt>
                <c:pt idx="72">
                  <c:v>1978</c:v>
                </c:pt>
                <c:pt idx="73">
                  <c:v>1979</c:v>
                </c:pt>
                <c:pt idx="74">
                  <c:v>1980</c:v>
                </c:pt>
                <c:pt idx="75">
                  <c:v>1981</c:v>
                </c:pt>
                <c:pt idx="76">
                  <c:v>1982</c:v>
                </c:pt>
                <c:pt idx="77">
                  <c:v>1983</c:v>
                </c:pt>
                <c:pt idx="78">
                  <c:v>1984</c:v>
                </c:pt>
                <c:pt idx="79">
                  <c:v>1985</c:v>
                </c:pt>
                <c:pt idx="80">
                  <c:v>1986</c:v>
                </c:pt>
                <c:pt idx="81">
                  <c:v>1987</c:v>
                </c:pt>
                <c:pt idx="82">
                  <c:v>1988</c:v>
                </c:pt>
                <c:pt idx="83">
                  <c:v>1989</c:v>
                </c:pt>
                <c:pt idx="84">
                  <c:v>1990</c:v>
                </c:pt>
                <c:pt idx="85">
                  <c:v>1991</c:v>
                </c:pt>
                <c:pt idx="86">
                  <c:v>1992</c:v>
                </c:pt>
                <c:pt idx="87">
                  <c:v>1993</c:v>
                </c:pt>
                <c:pt idx="88">
                  <c:v>1994</c:v>
                </c:pt>
                <c:pt idx="89">
                  <c:v>1995</c:v>
                </c:pt>
                <c:pt idx="90">
                  <c:v>1996</c:v>
                </c:pt>
                <c:pt idx="91">
                  <c:v>1997</c:v>
                </c:pt>
                <c:pt idx="92">
                  <c:v>1998</c:v>
                </c:pt>
                <c:pt idx="93">
                  <c:v>1999</c:v>
                </c:pt>
                <c:pt idx="94">
                  <c:v>2000</c:v>
                </c:pt>
                <c:pt idx="95">
                  <c:v>2001</c:v>
                </c:pt>
                <c:pt idx="96">
                  <c:v>2002</c:v>
                </c:pt>
                <c:pt idx="97">
                  <c:v>2003</c:v>
                </c:pt>
                <c:pt idx="98">
                  <c:v>2004</c:v>
                </c:pt>
                <c:pt idx="99">
                  <c:v>2005</c:v>
                </c:pt>
                <c:pt idx="100">
                  <c:v>2006</c:v>
                </c:pt>
                <c:pt idx="101">
                  <c:v>2007</c:v>
                </c:pt>
                <c:pt idx="102">
                  <c:v>2008</c:v>
                </c:pt>
                <c:pt idx="103">
                  <c:v>2009</c:v>
                </c:pt>
                <c:pt idx="104">
                  <c:v>2010</c:v>
                </c:pt>
                <c:pt idx="105">
                  <c:v>2011</c:v>
                </c:pt>
                <c:pt idx="106">
                  <c:v>2012</c:v>
                </c:pt>
                <c:pt idx="107">
                  <c:v>2013</c:v>
                </c:pt>
                <c:pt idx="108">
                  <c:v>2014</c:v>
                </c:pt>
                <c:pt idx="109">
                  <c:v>2015</c:v>
                </c:pt>
                <c:pt idx="110">
                  <c:v>2016</c:v>
                </c:pt>
              </c:numCache>
            </c:numRef>
          </c:cat>
          <c:val>
            <c:numRef>
              <c:f>'graphique 2 tertiaire'!$B$11:$DH$11</c:f>
              <c:numCache>
                <c:formatCode>General</c:formatCode>
                <c:ptCount val="111"/>
                <c:pt idx="0">
                  <c:v>467.10869133003462</c:v>
                </c:pt>
                <c:pt idx="1">
                  <c:v>477.66752840006689</c:v>
                </c:pt>
                <c:pt idx="2">
                  <c:v>488.2263654700991</c:v>
                </c:pt>
                <c:pt idx="3">
                  <c:v>498.78520254013137</c:v>
                </c:pt>
                <c:pt idx="4">
                  <c:v>509.34403961016358</c:v>
                </c:pt>
                <c:pt idx="5">
                  <c:v>519.90287668019585</c:v>
                </c:pt>
                <c:pt idx="6">
                  <c:v>530.46171375022811</c:v>
                </c:pt>
                <c:pt idx="7">
                  <c:v>541.02055082026038</c:v>
                </c:pt>
                <c:pt idx="8">
                  <c:v>551.57938789029254</c:v>
                </c:pt>
                <c:pt idx="9">
                  <c:v>562.13822496032481</c:v>
                </c:pt>
                <c:pt idx="10">
                  <c:v>572.69706203035707</c:v>
                </c:pt>
                <c:pt idx="11">
                  <c:v>583.25589910038934</c:v>
                </c:pt>
                <c:pt idx="12">
                  <c:v>593.81473617042161</c:v>
                </c:pt>
                <c:pt idx="13">
                  <c:v>604.37357324045388</c:v>
                </c:pt>
                <c:pt idx="14">
                  <c:v>614.93241031048603</c:v>
                </c:pt>
                <c:pt idx="15">
                  <c:v>625.4912473805183</c:v>
                </c:pt>
                <c:pt idx="16">
                  <c:v>636.05008445055057</c:v>
                </c:pt>
                <c:pt idx="17">
                  <c:v>646.60892152058273</c:v>
                </c:pt>
                <c:pt idx="18">
                  <c:v>657.16775859061499</c:v>
                </c:pt>
                <c:pt idx="19">
                  <c:v>667.72659566064726</c:v>
                </c:pt>
                <c:pt idx="20">
                  <c:v>678.28543273067953</c:v>
                </c:pt>
                <c:pt idx="21">
                  <c:v>696.42819502453392</c:v>
                </c:pt>
                <c:pt idx="22">
                  <c:v>714.57095731838831</c:v>
                </c:pt>
                <c:pt idx="23">
                  <c:v>732.7137196122427</c:v>
                </c:pt>
                <c:pt idx="24">
                  <c:v>750.85648190609709</c:v>
                </c:pt>
                <c:pt idx="25">
                  <c:v>768.99924419995148</c:v>
                </c:pt>
                <c:pt idx="26">
                  <c:v>787.14200649380587</c:v>
                </c:pt>
                <c:pt idx="27">
                  <c:v>805.28476878766025</c:v>
                </c:pt>
                <c:pt idx="28">
                  <c:v>823.42753108151464</c:v>
                </c:pt>
                <c:pt idx="29">
                  <c:v>841.57029337536903</c:v>
                </c:pt>
                <c:pt idx="30">
                  <c:v>859.71305566922342</c:v>
                </c:pt>
                <c:pt idx="31">
                  <c:v>879.78181356183916</c:v>
                </c:pt>
                <c:pt idx="32">
                  <c:v>899.85057145445501</c:v>
                </c:pt>
                <c:pt idx="33">
                  <c:v>919.91932934707074</c:v>
                </c:pt>
                <c:pt idx="34">
                  <c:v>939.98808723968648</c:v>
                </c:pt>
                <c:pt idx="35">
                  <c:v>960.05684513230233</c:v>
                </c:pt>
                <c:pt idx="36">
                  <c:v>980.12560302491806</c:v>
                </c:pt>
                <c:pt idx="37">
                  <c:v>1000.1943609175338</c:v>
                </c:pt>
                <c:pt idx="38">
                  <c:v>1020.2631188101496</c:v>
                </c:pt>
                <c:pt idx="39">
                  <c:v>1040.3318767027654</c:v>
                </c:pt>
                <c:pt idx="40">
                  <c:v>1060.4006345953812</c:v>
                </c:pt>
                <c:pt idx="41">
                  <c:v>1080.4693924879969</c:v>
                </c:pt>
                <c:pt idx="42">
                  <c:v>1100.5381503806127</c:v>
                </c:pt>
                <c:pt idx="43">
                  <c:v>1120.6069082732286</c:v>
                </c:pt>
                <c:pt idx="44">
                  <c:v>1140.6756661658442</c:v>
                </c:pt>
                <c:pt idx="45">
                  <c:v>1160.74442405846</c:v>
                </c:pt>
                <c:pt idx="46">
                  <c:v>1180.8131819510759</c:v>
                </c:pt>
                <c:pt idx="47">
                  <c:v>1200.8819398436917</c:v>
                </c:pt>
                <c:pt idx="48">
                  <c:v>1220.9506977363073</c:v>
                </c:pt>
                <c:pt idx="49">
                  <c:v>1244.3068605192689</c:v>
                </c:pt>
                <c:pt idx="50">
                  <c:v>1267.6630233022306</c:v>
                </c:pt>
                <c:pt idx="51">
                  <c:v>1291.0191860851921</c:v>
                </c:pt>
                <c:pt idx="52">
                  <c:v>1314.3753488681537</c:v>
                </c:pt>
                <c:pt idx="53">
                  <c:v>1337.7315116511154</c:v>
                </c:pt>
                <c:pt idx="54">
                  <c:v>1361.0876744340769</c:v>
                </c:pt>
                <c:pt idx="55">
                  <c:v>1384.4438372170387</c:v>
                </c:pt>
                <c:pt idx="56">
                  <c:v>1407.8000000000002</c:v>
                </c:pt>
                <c:pt idx="57">
                  <c:v>1407.9642057278766</c:v>
                </c:pt>
                <c:pt idx="58">
                  <c:v>1408.1284114557529</c:v>
                </c:pt>
                <c:pt idx="59">
                  <c:v>1408.2926171836291</c:v>
                </c:pt>
                <c:pt idx="60">
                  <c:v>1408.4568229115055</c:v>
                </c:pt>
                <c:pt idx="61">
                  <c:v>1408.6210286393818</c:v>
                </c:pt>
                <c:pt idx="62">
                  <c:v>1573.5</c:v>
                </c:pt>
                <c:pt idx="63">
                  <c:v>1610.1666666666667</c:v>
                </c:pt>
                <c:pt idx="64">
                  <c:v>1646.8333333333333</c:v>
                </c:pt>
                <c:pt idx="65">
                  <c:v>1683.5</c:v>
                </c:pt>
                <c:pt idx="66">
                  <c:v>1720.1666666666667</c:v>
                </c:pt>
                <c:pt idx="67">
                  <c:v>1756.8333333333333</c:v>
                </c:pt>
                <c:pt idx="68">
                  <c:v>1793.5</c:v>
                </c:pt>
                <c:pt idx="69">
                  <c:v>1793.6540415264462</c:v>
                </c:pt>
                <c:pt idx="70">
                  <c:v>1793.8080830528922</c:v>
                </c:pt>
                <c:pt idx="71">
                  <c:v>1793.9621245793385</c:v>
                </c:pt>
                <c:pt idx="72">
                  <c:v>1794.1161661057845</c:v>
                </c:pt>
                <c:pt idx="73">
                  <c:v>1794.2702076322307</c:v>
                </c:pt>
                <c:pt idx="74">
                  <c:v>2036.1</c:v>
                </c:pt>
                <c:pt idx="75">
                  <c:v>2085.6</c:v>
                </c:pt>
                <c:pt idx="76">
                  <c:v>2135.1</c:v>
                </c:pt>
                <c:pt idx="77">
                  <c:v>2184.6</c:v>
                </c:pt>
                <c:pt idx="78">
                  <c:v>2234.1</c:v>
                </c:pt>
                <c:pt idx="79">
                  <c:v>2283.6</c:v>
                </c:pt>
                <c:pt idx="80">
                  <c:v>2333.1</c:v>
                </c:pt>
                <c:pt idx="81">
                  <c:v>2382.6</c:v>
                </c:pt>
                <c:pt idx="82">
                  <c:v>2432.1</c:v>
                </c:pt>
                <c:pt idx="83">
                  <c:v>2481.6</c:v>
                </c:pt>
                <c:pt idx="84">
                  <c:v>2531.1</c:v>
                </c:pt>
                <c:pt idx="85">
                  <c:v>2596.33</c:v>
                </c:pt>
                <c:pt idx="86">
                  <c:v>2661.56</c:v>
                </c:pt>
                <c:pt idx="87">
                  <c:v>2726.79</c:v>
                </c:pt>
                <c:pt idx="88">
                  <c:v>2792.02</c:v>
                </c:pt>
                <c:pt idx="89">
                  <c:v>2857.25</c:v>
                </c:pt>
                <c:pt idx="90">
                  <c:v>2922.48</c:v>
                </c:pt>
                <c:pt idx="91">
                  <c:v>2987.71</c:v>
                </c:pt>
                <c:pt idx="92">
                  <c:v>3052.94</c:v>
                </c:pt>
                <c:pt idx="93">
                  <c:v>3118.17</c:v>
                </c:pt>
                <c:pt idx="94">
                  <c:v>3183.4</c:v>
                </c:pt>
                <c:pt idx="95">
                  <c:v>3246.5750000000003</c:v>
                </c:pt>
                <c:pt idx="96">
                  <c:v>3309.75</c:v>
                </c:pt>
                <c:pt idx="97">
                  <c:v>3372.9250000000002</c:v>
                </c:pt>
                <c:pt idx="98">
                  <c:v>3436.1000000000004</c:v>
                </c:pt>
                <c:pt idx="99">
                  <c:v>3499.2750000000001</c:v>
                </c:pt>
                <c:pt idx="100">
                  <c:v>3562.4500000000003</c:v>
                </c:pt>
                <c:pt idx="101">
                  <c:v>3625.625</c:v>
                </c:pt>
                <c:pt idx="102">
                  <c:v>3688.8</c:v>
                </c:pt>
                <c:pt idx="103">
                  <c:v>3758.3666666666668</c:v>
                </c:pt>
                <c:pt idx="104">
                  <c:v>3827.9333333333334</c:v>
                </c:pt>
                <c:pt idx="105">
                  <c:v>3897.5</c:v>
                </c:pt>
                <c:pt idx="106">
                  <c:v>3935.88</c:v>
                </c:pt>
                <c:pt idx="107">
                  <c:v>3974.26</c:v>
                </c:pt>
                <c:pt idx="108">
                  <c:v>4012.64</c:v>
                </c:pt>
                <c:pt idx="109">
                  <c:v>4051.02</c:v>
                </c:pt>
                <c:pt idx="110">
                  <c:v>4089.4</c:v>
                </c:pt>
              </c:numCache>
            </c:numRef>
          </c:val>
          <c:smooth val="0"/>
          <c:extLst>
            <c:ext xmlns:c16="http://schemas.microsoft.com/office/drawing/2014/chart" uri="{C3380CC4-5D6E-409C-BE32-E72D297353CC}">
              <c16:uniqueId val="{00000001-3C0F-FD47-A6C9-AAA3E7A897DA}"/>
            </c:ext>
          </c:extLst>
        </c:ser>
        <c:ser>
          <c:idx val="2"/>
          <c:order val="2"/>
          <c:tx>
            <c:strRef>
              <c:f>'graphique 2 tertiaire'!$A$12</c:f>
              <c:strCache>
                <c:ptCount val="1"/>
                <c:pt idx="0">
                  <c:v>Commerce</c:v>
                </c:pt>
              </c:strCache>
            </c:strRef>
          </c:tx>
          <c:spPr>
            <a:ln w="38100">
              <a:solidFill>
                <a:srgbClr val="FFFF00"/>
              </a:solidFill>
              <a:prstDash val="solid"/>
            </a:ln>
          </c:spPr>
          <c:marker>
            <c:symbol val="none"/>
          </c:marker>
          <c:cat>
            <c:numRef>
              <c:f>'graphique 2 tertiaire'!$B$1:$DH$1</c:f>
              <c:numCache>
                <c:formatCode>General</c:formatCode>
                <c:ptCount val="111"/>
                <c:pt idx="0">
                  <c:v>1906</c:v>
                </c:pt>
                <c:pt idx="1">
                  <c:v>1907</c:v>
                </c:pt>
                <c:pt idx="2">
                  <c:v>1908</c:v>
                </c:pt>
                <c:pt idx="3">
                  <c:v>1909</c:v>
                </c:pt>
                <c:pt idx="4">
                  <c:v>1910</c:v>
                </c:pt>
                <c:pt idx="5">
                  <c:v>1911</c:v>
                </c:pt>
                <c:pt idx="6">
                  <c:v>1912</c:v>
                </c:pt>
                <c:pt idx="7">
                  <c:v>1913</c:v>
                </c:pt>
                <c:pt idx="8">
                  <c:v>1914</c:v>
                </c:pt>
                <c:pt idx="9">
                  <c:v>1915</c:v>
                </c:pt>
                <c:pt idx="10">
                  <c:v>1916</c:v>
                </c:pt>
                <c:pt idx="11">
                  <c:v>1917</c:v>
                </c:pt>
                <c:pt idx="12">
                  <c:v>1918</c:v>
                </c:pt>
                <c:pt idx="13">
                  <c:v>1919</c:v>
                </c:pt>
                <c:pt idx="14">
                  <c:v>1920</c:v>
                </c:pt>
                <c:pt idx="15">
                  <c:v>1921</c:v>
                </c:pt>
                <c:pt idx="16">
                  <c:v>1922</c:v>
                </c:pt>
                <c:pt idx="17">
                  <c:v>1923</c:v>
                </c:pt>
                <c:pt idx="18">
                  <c:v>1924</c:v>
                </c:pt>
                <c:pt idx="19">
                  <c:v>1925</c:v>
                </c:pt>
                <c:pt idx="20">
                  <c:v>1926</c:v>
                </c:pt>
                <c:pt idx="21">
                  <c:v>1927</c:v>
                </c:pt>
                <c:pt idx="22">
                  <c:v>1928</c:v>
                </c:pt>
                <c:pt idx="23">
                  <c:v>1929</c:v>
                </c:pt>
                <c:pt idx="24">
                  <c:v>1930</c:v>
                </c:pt>
                <c:pt idx="25">
                  <c:v>1931</c:v>
                </c:pt>
                <c:pt idx="26">
                  <c:v>1932</c:v>
                </c:pt>
                <c:pt idx="27">
                  <c:v>1933</c:v>
                </c:pt>
                <c:pt idx="28">
                  <c:v>1934</c:v>
                </c:pt>
                <c:pt idx="29">
                  <c:v>1935</c:v>
                </c:pt>
                <c:pt idx="30">
                  <c:v>1936</c:v>
                </c:pt>
                <c:pt idx="31">
                  <c:v>1937</c:v>
                </c:pt>
                <c:pt idx="32">
                  <c:v>1938</c:v>
                </c:pt>
                <c:pt idx="33">
                  <c:v>1939</c:v>
                </c:pt>
                <c:pt idx="34">
                  <c:v>1940</c:v>
                </c:pt>
                <c:pt idx="35">
                  <c:v>1941</c:v>
                </c:pt>
                <c:pt idx="36">
                  <c:v>1942</c:v>
                </c:pt>
                <c:pt idx="37">
                  <c:v>1943</c:v>
                </c:pt>
                <c:pt idx="38">
                  <c:v>1944</c:v>
                </c:pt>
                <c:pt idx="39">
                  <c:v>1945</c:v>
                </c:pt>
                <c:pt idx="40">
                  <c:v>1946</c:v>
                </c:pt>
                <c:pt idx="41">
                  <c:v>1947</c:v>
                </c:pt>
                <c:pt idx="42">
                  <c:v>1948</c:v>
                </c:pt>
                <c:pt idx="43">
                  <c:v>1949</c:v>
                </c:pt>
                <c:pt idx="44">
                  <c:v>1950</c:v>
                </c:pt>
                <c:pt idx="45">
                  <c:v>1951</c:v>
                </c:pt>
                <c:pt idx="46">
                  <c:v>1952</c:v>
                </c:pt>
                <c:pt idx="47">
                  <c:v>1953</c:v>
                </c:pt>
                <c:pt idx="48">
                  <c:v>1954</c:v>
                </c:pt>
                <c:pt idx="49">
                  <c:v>1955</c:v>
                </c:pt>
                <c:pt idx="50">
                  <c:v>1956</c:v>
                </c:pt>
                <c:pt idx="51">
                  <c:v>1957</c:v>
                </c:pt>
                <c:pt idx="52">
                  <c:v>1958</c:v>
                </c:pt>
                <c:pt idx="53">
                  <c:v>1959</c:v>
                </c:pt>
                <c:pt idx="54">
                  <c:v>1960</c:v>
                </c:pt>
                <c:pt idx="55">
                  <c:v>1961</c:v>
                </c:pt>
                <c:pt idx="56">
                  <c:v>1962</c:v>
                </c:pt>
                <c:pt idx="57">
                  <c:v>1963</c:v>
                </c:pt>
                <c:pt idx="58">
                  <c:v>1964</c:v>
                </c:pt>
                <c:pt idx="59">
                  <c:v>1965</c:v>
                </c:pt>
                <c:pt idx="60">
                  <c:v>1966</c:v>
                </c:pt>
                <c:pt idx="61">
                  <c:v>1967</c:v>
                </c:pt>
                <c:pt idx="62">
                  <c:v>1968</c:v>
                </c:pt>
                <c:pt idx="63">
                  <c:v>1969</c:v>
                </c:pt>
                <c:pt idx="64">
                  <c:v>1970</c:v>
                </c:pt>
                <c:pt idx="65">
                  <c:v>1971</c:v>
                </c:pt>
                <c:pt idx="66">
                  <c:v>1972</c:v>
                </c:pt>
                <c:pt idx="67">
                  <c:v>1973</c:v>
                </c:pt>
                <c:pt idx="68">
                  <c:v>1974</c:v>
                </c:pt>
                <c:pt idx="69">
                  <c:v>1975</c:v>
                </c:pt>
                <c:pt idx="70">
                  <c:v>1976</c:v>
                </c:pt>
                <c:pt idx="71">
                  <c:v>1977</c:v>
                </c:pt>
                <c:pt idx="72">
                  <c:v>1978</c:v>
                </c:pt>
                <c:pt idx="73">
                  <c:v>1979</c:v>
                </c:pt>
                <c:pt idx="74">
                  <c:v>1980</c:v>
                </c:pt>
                <c:pt idx="75">
                  <c:v>1981</c:v>
                </c:pt>
                <c:pt idx="76">
                  <c:v>1982</c:v>
                </c:pt>
                <c:pt idx="77">
                  <c:v>1983</c:v>
                </c:pt>
                <c:pt idx="78">
                  <c:v>1984</c:v>
                </c:pt>
                <c:pt idx="79">
                  <c:v>1985</c:v>
                </c:pt>
                <c:pt idx="80">
                  <c:v>1986</c:v>
                </c:pt>
                <c:pt idx="81">
                  <c:v>1987</c:v>
                </c:pt>
                <c:pt idx="82">
                  <c:v>1988</c:v>
                </c:pt>
                <c:pt idx="83">
                  <c:v>1989</c:v>
                </c:pt>
                <c:pt idx="84">
                  <c:v>1990</c:v>
                </c:pt>
                <c:pt idx="85">
                  <c:v>1991</c:v>
                </c:pt>
                <c:pt idx="86">
                  <c:v>1992</c:v>
                </c:pt>
                <c:pt idx="87">
                  <c:v>1993</c:v>
                </c:pt>
                <c:pt idx="88">
                  <c:v>1994</c:v>
                </c:pt>
                <c:pt idx="89">
                  <c:v>1995</c:v>
                </c:pt>
                <c:pt idx="90">
                  <c:v>1996</c:v>
                </c:pt>
                <c:pt idx="91">
                  <c:v>1997</c:v>
                </c:pt>
                <c:pt idx="92">
                  <c:v>1998</c:v>
                </c:pt>
                <c:pt idx="93">
                  <c:v>1999</c:v>
                </c:pt>
                <c:pt idx="94">
                  <c:v>2000</c:v>
                </c:pt>
                <c:pt idx="95">
                  <c:v>2001</c:v>
                </c:pt>
                <c:pt idx="96">
                  <c:v>2002</c:v>
                </c:pt>
                <c:pt idx="97">
                  <c:v>2003</c:v>
                </c:pt>
                <c:pt idx="98">
                  <c:v>2004</c:v>
                </c:pt>
                <c:pt idx="99">
                  <c:v>2005</c:v>
                </c:pt>
                <c:pt idx="100">
                  <c:v>2006</c:v>
                </c:pt>
                <c:pt idx="101">
                  <c:v>2007</c:v>
                </c:pt>
                <c:pt idx="102">
                  <c:v>2008</c:v>
                </c:pt>
                <c:pt idx="103">
                  <c:v>2009</c:v>
                </c:pt>
                <c:pt idx="104">
                  <c:v>2010</c:v>
                </c:pt>
                <c:pt idx="105">
                  <c:v>2011</c:v>
                </c:pt>
                <c:pt idx="106">
                  <c:v>2012</c:v>
                </c:pt>
                <c:pt idx="107">
                  <c:v>2013</c:v>
                </c:pt>
                <c:pt idx="108">
                  <c:v>2014</c:v>
                </c:pt>
                <c:pt idx="109">
                  <c:v>2015</c:v>
                </c:pt>
                <c:pt idx="110">
                  <c:v>2016</c:v>
                </c:pt>
              </c:numCache>
            </c:numRef>
          </c:cat>
          <c:val>
            <c:numRef>
              <c:f>'graphique 2 tertiaire'!$B$12:$DH$12</c:f>
              <c:numCache>
                <c:formatCode>General</c:formatCode>
                <c:ptCount val="111"/>
                <c:pt idx="0">
                  <c:v>1203.9146586345382</c:v>
                </c:pt>
                <c:pt idx="1">
                  <c:v>1220.9401681726908</c:v>
                </c:pt>
                <c:pt idx="2">
                  <c:v>1237.9656777108435</c:v>
                </c:pt>
                <c:pt idx="3">
                  <c:v>1254.9911872489961</c:v>
                </c:pt>
                <c:pt idx="4">
                  <c:v>1272.0166967871487</c:v>
                </c:pt>
                <c:pt idx="5">
                  <c:v>1289.0422063253013</c:v>
                </c:pt>
                <c:pt idx="6">
                  <c:v>1306.0677158634539</c:v>
                </c:pt>
                <c:pt idx="7">
                  <c:v>1323.0932254016066</c:v>
                </c:pt>
                <c:pt idx="8">
                  <c:v>1340.1187349397592</c:v>
                </c:pt>
                <c:pt idx="9">
                  <c:v>1357.1442444779118</c:v>
                </c:pt>
                <c:pt idx="10">
                  <c:v>1374.1697540160644</c:v>
                </c:pt>
                <c:pt idx="11">
                  <c:v>1391.1952635542168</c:v>
                </c:pt>
                <c:pt idx="12">
                  <c:v>1408.2207730923694</c:v>
                </c:pt>
                <c:pt idx="13">
                  <c:v>1425.246282630522</c:v>
                </c:pt>
                <c:pt idx="14">
                  <c:v>1442.2717921686747</c:v>
                </c:pt>
                <c:pt idx="15">
                  <c:v>1459.2973017068273</c:v>
                </c:pt>
                <c:pt idx="16">
                  <c:v>1476.3228112449799</c:v>
                </c:pt>
                <c:pt idx="17">
                  <c:v>1493.3483207831325</c:v>
                </c:pt>
                <c:pt idx="18">
                  <c:v>1510.3738303212851</c:v>
                </c:pt>
                <c:pt idx="19">
                  <c:v>1527.3993398594378</c:v>
                </c:pt>
                <c:pt idx="20">
                  <c:v>1544.4248493975904</c:v>
                </c:pt>
                <c:pt idx="21">
                  <c:v>1559.1593273092369</c:v>
                </c:pt>
                <c:pt idx="22">
                  <c:v>1573.8938052208835</c:v>
                </c:pt>
                <c:pt idx="23">
                  <c:v>1588.6282831325302</c:v>
                </c:pt>
                <c:pt idx="24">
                  <c:v>1603.3627610441768</c:v>
                </c:pt>
                <c:pt idx="25">
                  <c:v>1618.0972389558233</c:v>
                </c:pt>
                <c:pt idx="26">
                  <c:v>1632.8317168674698</c:v>
                </c:pt>
                <c:pt idx="27">
                  <c:v>1647.5661947791164</c:v>
                </c:pt>
                <c:pt idx="28">
                  <c:v>1662.3006726907631</c:v>
                </c:pt>
                <c:pt idx="29">
                  <c:v>1677.0351506024097</c:v>
                </c:pt>
                <c:pt idx="30">
                  <c:v>1691.7696285140562</c:v>
                </c:pt>
                <c:pt idx="31">
                  <c:v>1697.2102047077196</c:v>
                </c:pt>
                <c:pt idx="32">
                  <c:v>1702.6507809013833</c:v>
                </c:pt>
                <c:pt idx="33">
                  <c:v>1708.0913570950468</c:v>
                </c:pt>
                <c:pt idx="34">
                  <c:v>1713.5319332887104</c:v>
                </c:pt>
                <c:pt idx="35">
                  <c:v>1718.9725094823739</c:v>
                </c:pt>
                <c:pt idx="36">
                  <c:v>1724.4130856760376</c:v>
                </c:pt>
                <c:pt idx="37">
                  <c:v>1729.853661869701</c:v>
                </c:pt>
                <c:pt idx="38">
                  <c:v>1735.2942380633647</c:v>
                </c:pt>
                <c:pt idx="39">
                  <c:v>1740.7348142570281</c:v>
                </c:pt>
                <c:pt idx="40">
                  <c:v>1746.1753904506916</c:v>
                </c:pt>
                <c:pt idx="41">
                  <c:v>1751.6159666443552</c:v>
                </c:pt>
                <c:pt idx="42">
                  <c:v>1757.0565428380187</c:v>
                </c:pt>
                <c:pt idx="43">
                  <c:v>1762.4971190316824</c:v>
                </c:pt>
                <c:pt idx="44">
                  <c:v>1767.9376952253458</c:v>
                </c:pt>
                <c:pt idx="45">
                  <c:v>1773.3782714190095</c:v>
                </c:pt>
                <c:pt idx="46">
                  <c:v>1778.8188476126729</c:v>
                </c:pt>
                <c:pt idx="47">
                  <c:v>1784.2594238063366</c:v>
                </c:pt>
                <c:pt idx="48">
                  <c:v>1789.7</c:v>
                </c:pt>
                <c:pt idx="49">
                  <c:v>1829.8</c:v>
                </c:pt>
                <c:pt idx="50">
                  <c:v>1869.9</c:v>
                </c:pt>
                <c:pt idx="51">
                  <c:v>1910</c:v>
                </c:pt>
                <c:pt idx="52">
                  <c:v>1950.1</c:v>
                </c:pt>
                <c:pt idx="53">
                  <c:v>1990.2</c:v>
                </c:pt>
                <c:pt idx="54">
                  <c:v>2030.3</c:v>
                </c:pt>
                <c:pt idx="55">
                  <c:v>2070.4</c:v>
                </c:pt>
                <c:pt idx="56">
                  <c:v>2110.5</c:v>
                </c:pt>
                <c:pt idx="57">
                  <c:v>2110.8118620552968</c:v>
                </c:pt>
                <c:pt idx="58">
                  <c:v>2111.1237241105937</c:v>
                </c:pt>
                <c:pt idx="59">
                  <c:v>2111.4355861658905</c:v>
                </c:pt>
                <c:pt idx="60">
                  <c:v>2111.7474482211874</c:v>
                </c:pt>
                <c:pt idx="61">
                  <c:v>2112.0593102764842</c:v>
                </c:pt>
                <c:pt idx="62">
                  <c:v>2425.1999999999998</c:v>
                </c:pt>
                <c:pt idx="63">
                  <c:v>2467.2166666666667</c:v>
                </c:pt>
                <c:pt idx="64">
                  <c:v>2509.2333333333331</c:v>
                </c:pt>
                <c:pt idx="65">
                  <c:v>2551.25</c:v>
                </c:pt>
                <c:pt idx="66">
                  <c:v>2593.2666666666669</c:v>
                </c:pt>
                <c:pt idx="67">
                  <c:v>2635.2833333333333</c:v>
                </c:pt>
                <c:pt idx="68">
                  <c:v>2677.3</c:v>
                </c:pt>
                <c:pt idx="69">
                  <c:v>2677.3975300019051</c:v>
                </c:pt>
                <c:pt idx="70">
                  <c:v>2677.4950600038101</c:v>
                </c:pt>
                <c:pt idx="71">
                  <c:v>2677.592590005715</c:v>
                </c:pt>
                <c:pt idx="72">
                  <c:v>2677.6901200076195</c:v>
                </c:pt>
                <c:pt idx="73">
                  <c:v>2677.7876500095244</c:v>
                </c:pt>
                <c:pt idx="74">
                  <c:v>2830.9</c:v>
                </c:pt>
                <c:pt idx="75">
                  <c:v>2847.91</c:v>
                </c:pt>
                <c:pt idx="76">
                  <c:v>2864.92</c:v>
                </c:pt>
                <c:pt idx="77">
                  <c:v>2881.9300000000003</c:v>
                </c:pt>
                <c:pt idx="78">
                  <c:v>2898.94</c:v>
                </c:pt>
                <c:pt idx="79">
                  <c:v>2915.95</c:v>
                </c:pt>
                <c:pt idx="80">
                  <c:v>2932.96</c:v>
                </c:pt>
                <c:pt idx="81">
                  <c:v>2949.9700000000003</c:v>
                </c:pt>
                <c:pt idx="82">
                  <c:v>2966.98</c:v>
                </c:pt>
                <c:pt idx="83">
                  <c:v>2983.99</c:v>
                </c:pt>
                <c:pt idx="84">
                  <c:v>3001</c:v>
                </c:pt>
                <c:pt idx="85">
                  <c:v>3019.17</c:v>
                </c:pt>
                <c:pt idx="86">
                  <c:v>3037.34</c:v>
                </c:pt>
                <c:pt idx="87">
                  <c:v>3055.5099999999998</c:v>
                </c:pt>
                <c:pt idx="88">
                  <c:v>3073.68</c:v>
                </c:pt>
                <c:pt idx="89">
                  <c:v>3091.85</c:v>
                </c:pt>
                <c:pt idx="90">
                  <c:v>3110.02</c:v>
                </c:pt>
                <c:pt idx="91">
                  <c:v>3128.19</c:v>
                </c:pt>
                <c:pt idx="92">
                  <c:v>3146.3599999999997</c:v>
                </c:pt>
                <c:pt idx="93">
                  <c:v>3164.5299999999997</c:v>
                </c:pt>
                <c:pt idx="94">
                  <c:v>3182.7</c:v>
                </c:pt>
                <c:pt idx="95">
                  <c:v>3217.1374999999998</c:v>
                </c:pt>
                <c:pt idx="96">
                  <c:v>3251.5749999999998</c:v>
                </c:pt>
                <c:pt idx="97">
                  <c:v>3286.0124999999998</c:v>
                </c:pt>
                <c:pt idx="98">
                  <c:v>3320.45</c:v>
                </c:pt>
                <c:pt idx="99">
                  <c:v>3354.8874999999998</c:v>
                </c:pt>
                <c:pt idx="100">
                  <c:v>3389.3249999999998</c:v>
                </c:pt>
                <c:pt idx="101">
                  <c:v>3423.7624999999998</c:v>
                </c:pt>
                <c:pt idx="102">
                  <c:v>3458.2</c:v>
                </c:pt>
                <c:pt idx="103">
                  <c:v>3458.1333333333332</c:v>
                </c:pt>
                <c:pt idx="104">
                  <c:v>3458.0666666666666</c:v>
                </c:pt>
                <c:pt idx="105">
                  <c:v>3458</c:v>
                </c:pt>
                <c:pt idx="106">
                  <c:v>3457.52</c:v>
                </c:pt>
                <c:pt idx="107">
                  <c:v>3457.04</c:v>
                </c:pt>
                <c:pt idx="108">
                  <c:v>3456.56</c:v>
                </c:pt>
                <c:pt idx="109">
                  <c:v>3456.08</c:v>
                </c:pt>
                <c:pt idx="110">
                  <c:v>3455.6</c:v>
                </c:pt>
              </c:numCache>
            </c:numRef>
          </c:val>
          <c:smooth val="0"/>
          <c:extLst>
            <c:ext xmlns:c16="http://schemas.microsoft.com/office/drawing/2014/chart" uri="{C3380CC4-5D6E-409C-BE32-E72D297353CC}">
              <c16:uniqueId val="{00000002-3C0F-FD47-A6C9-AAA3E7A897DA}"/>
            </c:ext>
          </c:extLst>
        </c:ser>
        <c:ser>
          <c:idx val="3"/>
          <c:order val="3"/>
          <c:tx>
            <c:strRef>
              <c:f>'graphique 2 tertiaire'!$A$13</c:f>
              <c:strCache>
                <c:ptCount val="1"/>
                <c:pt idx="0">
                  <c:v>Transports</c:v>
                </c:pt>
              </c:strCache>
            </c:strRef>
          </c:tx>
          <c:spPr>
            <a:ln w="38100">
              <a:solidFill>
                <a:srgbClr val="00FFFF"/>
              </a:solidFill>
              <a:prstDash val="solid"/>
            </a:ln>
          </c:spPr>
          <c:marker>
            <c:symbol val="none"/>
          </c:marker>
          <c:cat>
            <c:numRef>
              <c:f>'graphique 2 tertiaire'!$B$1:$DH$1</c:f>
              <c:numCache>
                <c:formatCode>General</c:formatCode>
                <c:ptCount val="111"/>
                <c:pt idx="0">
                  <c:v>1906</c:v>
                </c:pt>
                <c:pt idx="1">
                  <c:v>1907</c:v>
                </c:pt>
                <c:pt idx="2">
                  <c:v>1908</c:v>
                </c:pt>
                <c:pt idx="3">
                  <c:v>1909</c:v>
                </c:pt>
                <c:pt idx="4">
                  <c:v>1910</c:v>
                </c:pt>
                <c:pt idx="5">
                  <c:v>1911</c:v>
                </c:pt>
                <c:pt idx="6">
                  <c:v>1912</c:v>
                </c:pt>
                <c:pt idx="7">
                  <c:v>1913</c:v>
                </c:pt>
                <c:pt idx="8">
                  <c:v>1914</c:v>
                </c:pt>
                <c:pt idx="9">
                  <c:v>1915</c:v>
                </c:pt>
                <c:pt idx="10">
                  <c:v>1916</c:v>
                </c:pt>
                <c:pt idx="11">
                  <c:v>1917</c:v>
                </c:pt>
                <c:pt idx="12">
                  <c:v>1918</c:v>
                </c:pt>
                <c:pt idx="13">
                  <c:v>1919</c:v>
                </c:pt>
                <c:pt idx="14">
                  <c:v>1920</c:v>
                </c:pt>
                <c:pt idx="15">
                  <c:v>1921</c:v>
                </c:pt>
                <c:pt idx="16">
                  <c:v>1922</c:v>
                </c:pt>
                <c:pt idx="17">
                  <c:v>1923</c:v>
                </c:pt>
                <c:pt idx="18">
                  <c:v>1924</c:v>
                </c:pt>
                <c:pt idx="19">
                  <c:v>1925</c:v>
                </c:pt>
                <c:pt idx="20">
                  <c:v>1926</c:v>
                </c:pt>
                <c:pt idx="21">
                  <c:v>1927</c:v>
                </c:pt>
                <c:pt idx="22">
                  <c:v>1928</c:v>
                </c:pt>
                <c:pt idx="23">
                  <c:v>1929</c:v>
                </c:pt>
                <c:pt idx="24">
                  <c:v>1930</c:v>
                </c:pt>
                <c:pt idx="25">
                  <c:v>1931</c:v>
                </c:pt>
                <c:pt idx="26">
                  <c:v>1932</c:v>
                </c:pt>
                <c:pt idx="27">
                  <c:v>1933</c:v>
                </c:pt>
                <c:pt idx="28">
                  <c:v>1934</c:v>
                </c:pt>
                <c:pt idx="29">
                  <c:v>1935</c:v>
                </c:pt>
                <c:pt idx="30">
                  <c:v>1936</c:v>
                </c:pt>
                <c:pt idx="31">
                  <c:v>1937</c:v>
                </c:pt>
                <c:pt idx="32">
                  <c:v>1938</c:v>
                </c:pt>
                <c:pt idx="33">
                  <c:v>1939</c:v>
                </c:pt>
                <c:pt idx="34">
                  <c:v>1940</c:v>
                </c:pt>
                <c:pt idx="35">
                  <c:v>1941</c:v>
                </c:pt>
                <c:pt idx="36">
                  <c:v>1942</c:v>
                </c:pt>
                <c:pt idx="37">
                  <c:v>1943</c:v>
                </c:pt>
                <c:pt idx="38">
                  <c:v>1944</c:v>
                </c:pt>
                <c:pt idx="39">
                  <c:v>1945</c:v>
                </c:pt>
                <c:pt idx="40">
                  <c:v>1946</c:v>
                </c:pt>
                <c:pt idx="41">
                  <c:v>1947</c:v>
                </c:pt>
                <c:pt idx="42">
                  <c:v>1948</c:v>
                </c:pt>
                <c:pt idx="43">
                  <c:v>1949</c:v>
                </c:pt>
                <c:pt idx="44">
                  <c:v>1950</c:v>
                </c:pt>
                <c:pt idx="45">
                  <c:v>1951</c:v>
                </c:pt>
                <c:pt idx="46">
                  <c:v>1952</c:v>
                </c:pt>
                <c:pt idx="47">
                  <c:v>1953</c:v>
                </c:pt>
                <c:pt idx="48">
                  <c:v>1954</c:v>
                </c:pt>
                <c:pt idx="49">
                  <c:v>1955</c:v>
                </c:pt>
                <c:pt idx="50">
                  <c:v>1956</c:v>
                </c:pt>
                <c:pt idx="51">
                  <c:v>1957</c:v>
                </c:pt>
                <c:pt idx="52">
                  <c:v>1958</c:v>
                </c:pt>
                <c:pt idx="53">
                  <c:v>1959</c:v>
                </c:pt>
                <c:pt idx="54">
                  <c:v>1960</c:v>
                </c:pt>
                <c:pt idx="55">
                  <c:v>1961</c:v>
                </c:pt>
                <c:pt idx="56">
                  <c:v>1962</c:v>
                </c:pt>
                <c:pt idx="57">
                  <c:v>1963</c:v>
                </c:pt>
                <c:pt idx="58">
                  <c:v>1964</c:v>
                </c:pt>
                <c:pt idx="59">
                  <c:v>1965</c:v>
                </c:pt>
                <c:pt idx="60">
                  <c:v>1966</c:v>
                </c:pt>
                <c:pt idx="61">
                  <c:v>1967</c:v>
                </c:pt>
                <c:pt idx="62">
                  <c:v>1968</c:v>
                </c:pt>
                <c:pt idx="63">
                  <c:v>1969</c:v>
                </c:pt>
                <c:pt idx="64">
                  <c:v>1970</c:v>
                </c:pt>
                <c:pt idx="65">
                  <c:v>1971</c:v>
                </c:pt>
                <c:pt idx="66">
                  <c:v>1972</c:v>
                </c:pt>
                <c:pt idx="67">
                  <c:v>1973</c:v>
                </c:pt>
                <c:pt idx="68">
                  <c:v>1974</c:v>
                </c:pt>
                <c:pt idx="69">
                  <c:v>1975</c:v>
                </c:pt>
                <c:pt idx="70">
                  <c:v>1976</c:v>
                </c:pt>
                <c:pt idx="71">
                  <c:v>1977</c:v>
                </c:pt>
                <c:pt idx="72">
                  <c:v>1978</c:v>
                </c:pt>
                <c:pt idx="73">
                  <c:v>1979</c:v>
                </c:pt>
                <c:pt idx="74">
                  <c:v>1980</c:v>
                </c:pt>
                <c:pt idx="75">
                  <c:v>1981</c:v>
                </c:pt>
                <c:pt idx="76">
                  <c:v>1982</c:v>
                </c:pt>
                <c:pt idx="77">
                  <c:v>1983</c:v>
                </c:pt>
                <c:pt idx="78">
                  <c:v>1984</c:v>
                </c:pt>
                <c:pt idx="79">
                  <c:v>1985</c:v>
                </c:pt>
                <c:pt idx="80">
                  <c:v>1986</c:v>
                </c:pt>
                <c:pt idx="81">
                  <c:v>1987</c:v>
                </c:pt>
                <c:pt idx="82">
                  <c:v>1988</c:v>
                </c:pt>
                <c:pt idx="83">
                  <c:v>1989</c:v>
                </c:pt>
                <c:pt idx="84">
                  <c:v>1990</c:v>
                </c:pt>
                <c:pt idx="85">
                  <c:v>1991</c:v>
                </c:pt>
                <c:pt idx="86">
                  <c:v>1992</c:v>
                </c:pt>
                <c:pt idx="87">
                  <c:v>1993</c:v>
                </c:pt>
                <c:pt idx="88">
                  <c:v>1994</c:v>
                </c:pt>
                <c:pt idx="89">
                  <c:v>1995</c:v>
                </c:pt>
                <c:pt idx="90">
                  <c:v>1996</c:v>
                </c:pt>
                <c:pt idx="91">
                  <c:v>1997</c:v>
                </c:pt>
                <c:pt idx="92">
                  <c:v>1998</c:v>
                </c:pt>
                <c:pt idx="93">
                  <c:v>1999</c:v>
                </c:pt>
                <c:pt idx="94">
                  <c:v>2000</c:v>
                </c:pt>
                <c:pt idx="95">
                  <c:v>2001</c:v>
                </c:pt>
                <c:pt idx="96">
                  <c:v>2002</c:v>
                </c:pt>
                <c:pt idx="97">
                  <c:v>2003</c:v>
                </c:pt>
                <c:pt idx="98">
                  <c:v>2004</c:v>
                </c:pt>
                <c:pt idx="99">
                  <c:v>2005</c:v>
                </c:pt>
                <c:pt idx="100">
                  <c:v>2006</c:v>
                </c:pt>
                <c:pt idx="101">
                  <c:v>2007</c:v>
                </c:pt>
                <c:pt idx="102">
                  <c:v>2008</c:v>
                </c:pt>
                <c:pt idx="103">
                  <c:v>2009</c:v>
                </c:pt>
                <c:pt idx="104">
                  <c:v>2010</c:v>
                </c:pt>
                <c:pt idx="105">
                  <c:v>2011</c:v>
                </c:pt>
                <c:pt idx="106">
                  <c:v>2012</c:v>
                </c:pt>
                <c:pt idx="107">
                  <c:v>2013</c:v>
                </c:pt>
                <c:pt idx="108">
                  <c:v>2014</c:v>
                </c:pt>
                <c:pt idx="109">
                  <c:v>2015</c:v>
                </c:pt>
                <c:pt idx="110">
                  <c:v>2016</c:v>
                </c:pt>
              </c:numCache>
            </c:numRef>
          </c:cat>
          <c:val>
            <c:numRef>
              <c:f>'graphique 2 tertiaire'!$B$13:$DH$13</c:f>
              <c:numCache>
                <c:formatCode>General</c:formatCode>
                <c:ptCount val="111"/>
                <c:pt idx="0">
                  <c:v>609.21530754892831</c:v>
                </c:pt>
                <c:pt idx="1">
                  <c:v>624.56816717148195</c:v>
                </c:pt>
                <c:pt idx="2">
                  <c:v>639.92102679403547</c:v>
                </c:pt>
                <c:pt idx="3">
                  <c:v>655.27388641658911</c:v>
                </c:pt>
                <c:pt idx="4">
                  <c:v>670.62674603914263</c:v>
                </c:pt>
                <c:pt idx="5">
                  <c:v>685.97960566169627</c:v>
                </c:pt>
                <c:pt idx="6">
                  <c:v>701.33246528424979</c:v>
                </c:pt>
                <c:pt idx="7">
                  <c:v>716.68532490680343</c:v>
                </c:pt>
                <c:pt idx="8">
                  <c:v>732.03818452935695</c:v>
                </c:pt>
                <c:pt idx="9">
                  <c:v>747.39104415191059</c:v>
                </c:pt>
                <c:pt idx="10">
                  <c:v>762.74390377446412</c:v>
                </c:pt>
                <c:pt idx="11">
                  <c:v>778.09676339701775</c:v>
                </c:pt>
                <c:pt idx="12">
                  <c:v>793.44962301957139</c:v>
                </c:pt>
                <c:pt idx="13">
                  <c:v>808.80248264212491</c:v>
                </c:pt>
                <c:pt idx="14">
                  <c:v>824.15534226467844</c:v>
                </c:pt>
                <c:pt idx="15">
                  <c:v>839.50820188723219</c:v>
                </c:pt>
                <c:pt idx="16">
                  <c:v>854.86106150978571</c:v>
                </c:pt>
                <c:pt idx="17">
                  <c:v>870.21392113233924</c:v>
                </c:pt>
                <c:pt idx="18">
                  <c:v>885.56678075489287</c:v>
                </c:pt>
                <c:pt idx="19">
                  <c:v>900.91964037744651</c:v>
                </c:pt>
                <c:pt idx="20">
                  <c:v>916.27250000000004</c:v>
                </c:pt>
                <c:pt idx="21">
                  <c:v>907.89525000000003</c:v>
                </c:pt>
                <c:pt idx="22">
                  <c:v>899.51800000000003</c:v>
                </c:pt>
                <c:pt idx="23">
                  <c:v>891.14075000000003</c:v>
                </c:pt>
                <c:pt idx="24">
                  <c:v>882.76350000000002</c:v>
                </c:pt>
                <c:pt idx="25">
                  <c:v>874.38625000000002</c:v>
                </c:pt>
                <c:pt idx="26">
                  <c:v>866.00900000000001</c:v>
                </c:pt>
                <c:pt idx="27">
                  <c:v>857.63175000000001</c:v>
                </c:pt>
                <c:pt idx="28">
                  <c:v>849.25450000000001</c:v>
                </c:pt>
                <c:pt idx="29">
                  <c:v>840.87725</c:v>
                </c:pt>
                <c:pt idx="30">
                  <c:v>832.5</c:v>
                </c:pt>
                <c:pt idx="31">
                  <c:v>829.58333333333337</c:v>
                </c:pt>
                <c:pt idx="32">
                  <c:v>826.66666666666663</c:v>
                </c:pt>
                <c:pt idx="33">
                  <c:v>823.75</c:v>
                </c:pt>
                <c:pt idx="34">
                  <c:v>820.83333333333337</c:v>
                </c:pt>
                <c:pt idx="35">
                  <c:v>817.91666666666663</c:v>
                </c:pt>
                <c:pt idx="36">
                  <c:v>815</c:v>
                </c:pt>
                <c:pt idx="37">
                  <c:v>812.08333333333337</c:v>
                </c:pt>
                <c:pt idx="38">
                  <c:v>809.16666666666663</c:v>
                </c:pt>
                <c:pt idx="39">
                  <c:v>806.25</c:v>
                </c:pt>
                <c:pt idx="40">
                  <c:v>803.33333333333337</c:v>
                </c:pt>
                <c:pt idx="41">
                  <c:v>800.41666666666663</c:v>
                </c:pt>
                <c:pt idx="42">
                  <c:v>797.5</c:v>
                </c:pt>
                <c:pt idx="43">
                  <c:v>794.58333333333337</c:v>
                </c:pt>
                <c:pt idx="44">
                  <c:v>791.66666666666663</c:v>
                </c:pt>
                <c:pt idx="45">
                  <c:v>788.75</c:v>
                </c:pt>
                <c:pt idx="46">
                  <c:v>785.83333333333337</c:v>
                </c:pt>
                <c:pt idx="47">
                  <c:v>782.91666666666663</c:v>
                </c:pt>
                <c:pt idx="48">
                  <c:v>780</c:v>
                </c:pt>
                <c:pt idx="49">
                  <c:v>789.67499999999995</c:v>
                </c:pt>
                <c:pt idx="50">
                  <c:v>799.35</c:v>
                </c:pt>
                <c:pt idx="51">
                  <c:v>809.02499999999998</c:v>
                </c:pt>
                <c:pt idx="52">
                  <c:v>818.7</c:v>
                </c:pt>
                <c:pt idx="53">
                  <c:v>828.375</c:v>
                </c:pt>
                <c:pt idx="54">
                  <c:v>838.05</c:v>
                </c:pt>
                <c:pt idx="55">
                  <c:v>847.72500000000002</c:v>
                </c:pt>
                <c:pt idx="56">
                  <c:v>857.4</c:v>
                </c:pt>
                <c:pt idx="57">
                  <c:v>857.4951342780696</c:v>
                </c:pt>
                <c:pt idx="58">
                  <c:v>857.59026855613911</c:v>
                </c:pt>
                <c:pt idx="59">
                  <c:v>857.68540283420873</c:v>
                </c:pt>
                <c:pt idx="60">
                  <c:v>857.78053711227824</c:v>
                </c:pt>
                <c:pt idx="61">
                  <c:v>857.87567139034786</c:v>
                </c:pt>
                <c:pt idx="62">
                  <c:v>953.4</c:v>
                </c:pt>
                <c:pt idx="63">
                  <c:v>967.4666666666667</c:v>
                </c:pt>
                <c:pt idx="64">
                  <c:v>981.5333333333333</c:v>
                </c:pt>
                <c:pt idx="65">
                  <c:v>995.59999999999991</c:v>
                </c:pt>
                <c:pt idx="66">
                  <c:v>1009.6666666666666</c:v>
                </c:pt>
                <c:pt idx="67">
                  <c:v>1023.7333333333333</c:v>
                </c:pt>
                <c:pt idx="68">
                  <c:v>1037.8</c:v>
                </c:pt>
                <c:pt idx="69">
                  <c:v>1037.8462886532477</c:v>
                </c:pt>
                <c:pt idx="70">
                  <c:v>1037.8925773064957</c:v>
                </c:pt>
                <c:pt idx="71">
                  <c:v>1037.9388659597435</c:v>
                </c:pt>
                <c:pt idx="72">
                  <c:v>1037.9851546129912</c:v>
                </c:pt>
                <c:pt idx="73">
                  <c:v>1038.0314432662392</c:v>
                </c:pt>
                <c:pt idx="74">
                  <c:v>1110.7</c:v>
                </c:pt>
                <c:pt idx="75">
                  <c:v>1119.22</c:v>
                </c:pt>
                <c:pt idx="76">
                  <c:v>1127.74</c:v>
                </c:pt>
                <c:pt idx="77">
                  <c:v>1136.26</c:v>
                </c:pt>
                <c:pt idx="78">
                  <c:v>1144.78</c:v>
                </c:pt>
                <c:pt idx="79">
                  <c:v>1153.3000000000002</c:v>
                </c:pt>
                <c:pt idx="80">
                  <c:v>1161.8200000000002</c:v>
                </c:pt>
                <c:pt idx="81">
                  <c:v>1170.3400000000001</c:v>
                </c:pt>
                <c:pt idx="82">
                  <c:v>1178.8600000000001</c:v>
                </c:pt>
                <c:pt idx="83">
                  <c:v>1187.3800000000001</c:v>
                </c:pt>
                <c:pt idx="84">
                  <c:v>1195.9000000000001</c:v>
                </c:pt>
                <c:pt idx="85">
                  <c:v>1208.5300000000002</c:v>
                </c:pt>
                <c:pt idx="86">
                  <c:v>1221.1600000000001</c:v>
                </c:pt>
                <c:pt idx="87">
                  <c:v>1233.79</c:v>
                </c:pt>
                <c:pt idx="88">
                  <c:v>1246.42</c:v>
                </c:pt>
                <c:pt idx="89">
                  <c:v>1259.0500000000002</c:v>
                </c:pt>
                <c:pt idx="90">
                  <c:v>1271.68</c:v>
                </c:pt>
                <c:pt idx="91">
                  <c:v>1284.31</c:v>
                </c:pt>
                <c:pt idx="92">
                  <c:v>1296.94</c:v>
                </c:pt>
                <c:pt idx="93">
                  <c:v>1309.5700000000002</c:v>
                </c:pt>
                <c:pt idx="94">
                  <c:v>1322.2</c:v>
                </c:pt>
                <c:pt idx="95">
                  <c:v>1332.7125000000001</c:v>
                </c:pt>
                <c:pt idx="96">
                  <c:v>1343.2249999999999</c:v>
                </c:pt>
                <c:pt idx="97">
                  <c:v>1353.7375</c:v>
                </c:pt>
                <c:pt idx="98">
                  <c:v>1364.25</c:v>
                </c:pt>
                <c:pt idx="99">
                  <c:v>1374.7625</c:v>
                </c:pt>
                <c:pt idx="100">
                  <c:v>1385.2750000000001</c:v>
                </c:pt>
                <c:pt idx="101">
                  <c:v>1395.7874999999999</c:v>
                </c:pt>
                <c:pt idx="102">
                  <c:v>1406.3</c:v>
                </c:pt>
                <c:pt idx="103">
                  <c:v>1396.8</c:v>
                </c:pt>
                <c:pt idx="104">
                  <c:v>1387.3</c:v>
                </c:pt>
                <c:pt idx="105">
                  <c:v>1377.8</c:v>
                </c:pt>
                <c:pt idx="106">
                  <c:v>1380.06</c:v>
                </c:pt>
                <c:pt idx="107">
                  <c:v>1382.32</c:v>
                </c:pt>
                <c:pt idx="108">
                  <c:v>1384.58</c:v>
                </c:pt>
                <c:pt idx="109">
                  <c:v>1386.84</c:v>
                </c:pt>
                <c:pt idx="110">
                  <c:v>1389.1</c:v>
                </c:pt>
              </c:numCache>
            </c:numRef>
          </c:val>
          <c:smooth val="0"/>
          <c:extLst>
            <c:ext xmlns:c16="http://schemas.microsoft.com/office/drawing/2014/chart" uri="{C3380CC4-5D6E-409C-BE32-E72D297353CC}">
              <c16:uniqueId val="{00000003-3C0F-FD47-A6C9-AAA3E7A897DA}"/>
            </c:ext>
          </c:extLst>
        </c:ser>
        <c:ser>
          <c:idx val="4"/>
          <c:order val="4"/>
          <c:tx>
            <c:strRef>
              <c:f>'graphique 2 tertiaire'!$A$14</c:f>
              <c:strCache>
                <c:ptCount val="1"/>
                <c:pt idx="0">
                  <c:v>Autres activités de services aux ménages</c:v>
                </c:pt>
              </c:strCache>
            </c:strRef>
          </c:tx>
          <c:spPr>
            <a:ln w="25400">
              <a:solidFill>
                <a:srgbClr val="00FF00"/>
              </a:solidFill>
              <a:prstDash val="solid"/>
            </a:ln>
          </c:spPr>
          <c:marker>
            <c:symbol val="none"/>
          </c:marker>
          <c:cat>
            <c:numRef>
              <c:f>'graphique 2 tertiaire'!$B$1:$DH$1</c:f>
              <c:numCache>
                <c:formatCode>General</c:formatCode>
                <c:ptCount val="111"/>
                <c:pt idx="0">
                  <c:v>1906</c:v>
                </c:pt>
                <c:pt idx="1">
                  <c:v>1907</c:v>
                </c:pt>
                <c:pt idx="2">
                  <c:v>1908</c:v>
                </c:pt>
                <c:pt idx="3">
                  <c:v>1909</c:v>
                </c:pt>
                <c:pt idx="4">
                  <c:v>1910</c:v>
                </c:pt>
                <c:pt idx="5">
                  <c:v>1911</c:v>
                </c:pt>
                <c:pt idx="6">
                  <c:v>1912</c:v>
                </c:pt>
                <c:pt idx="7">
                  <c:v>1913</c:v>
                </c:pt>
                <c:pt idx="8">
                  <c:v>1914</c:v>
                </c:pt>
                <c:pt idx="9">
                  <c:v>1915</c:v>
                </c:pt>
                <c:pt idx="10">
                  <c:v>1916</c:v>
                </c:pt>
                <c:pt idx="11">
                  <c:v>1917</c:v>
                </c:pt>
                <c:pt idx="12">
                  <c:v>1918</c:v>
                </c:pt>
                <c:pt idx="13">
                  <c:v>1919</c:v>
                </c:pt>
                <c:pt idx="14">
                  <c:v>1920</c:v>
                </c:pt>
                <c:pt idx="15">
                  <c:v>1921</c:v>
                </c:pt>
                <c:pt idx="16">
                  <c:v>1922</c:v>
                </c:pt>
                <c:pt idx="17">
                  <c:v>1923</c:v>
                </c:pt>
                <c:pt idx="18">
                  <c:v>1924</c:v>
                </c:pt>
                <c:pt idx="19">
                  <c:v>1925</c:v>
                </c:pt>
                <c:pt idx="20">
                  <c:v>1926</c:v>
                </c:pt>
                <c:pt idx="21">
                  <c:v>1927</c:v>
                </c:pt>
                <c:pt idx="22">
                  <c:v>1928</c:v>
                </c:pt>
                <c:pt idx="23">
                  <c:v>1929</c:v>
                </c:pt>
                <c:pt idx="24">
                  <c:v>1930</c:v>
                </c:pt>
                <c:pt idx="25">
                  <c:v>1931</c:v>
                </c:pt>
                <c:pt idx="26">
                  <c:v>1932</c:v>
                </c:pt>
                <c:pt idx="27">
                  <c:v>1933</c:v>
                </c:pt>
                <c:pt idx="28">
                  <c:v>1934</c:v>
                </c:pt>
                <c:pt idx="29">
                  <c:v>1935</c:v>
                </c:pt>
                <c:pt idx="30">
                  <c:v>1936</c:v>
                </c:pt>
                <c:pt idx="31">
                  <c:v>1937</c:v>
                </c:pt>
                <c:pt idx="32">
                  <c:v>1938</c:v>
                </c:pt>
                <c:pt idx="33">
                  <c:v>1939</c:v>
                </c:pt>
                <c:pt idx="34">
                  <c:v>1940</c:v>
                </c:pt>
                <c:pt idx="35">
                  <c:v>1941</c:v>
                </c:pt>
                <c:pt idx="36">
                  <c:v>1942</c:v>
                </c:pt>
                <c:pt idx="37">
                  <c:v>1943</c:v>
                </c:pt>
                <c:pt idx="38">
                  <c:v>1944</c:v>
                </c:pt>
                <c:pt idx="39">
                  <c:v>1945</c:v>
                </c:pt>
                <c:pt idx="40">
                  <c:v>1946</c:v>
                </c:pt>
                <c:pt idx="41">
                  <c:v>1947</c:v>
                </c:pt>
                <c:pt idx="42">
                  <c:v>1948</c:v>
                </c:pt>
                <c:pt idx="43">
                  <c:v>1949</c:v>
                </c:pt>
                <c:pt idx="44">
                  <c:v>1950</c:v>
                </c:pt>
                <c:pt idx="45">
                  <c:v>1951</c:v>
                </c:pt>
                <c:pt idx="46">
                  <c:v>1952</c:v>
                </c:pt>
                <c:pt idx="47">
                  <c:v>1953</c:v>
                </c:pt>
                <c:pt idx="48">
                  <c:v>1954</c:v>
                </c:pt>
                <c:pt idx="49">
                  <c:v>1955</c:v>
                </c:pt>
                <c:pt idx="50">
                  <c:v>1956</c:v>
                </c:pt>
                <c:pt idx="51">
                  <c:v>1957</c:v>
                </c:pt>
                <c:pt idx="52">
                  <c:v>1958</c:v>
                </c:pt>
                <c:pt idx="53">
                  <c:v>1959</c:v>
                </c:pt>
                <c:pt idx="54">
                  <c:v>1960</c:v>
                </c:pt>
                <c:pt idx="55">
                  <c:v>1961</c:v>
                </c:pt>
                <c:pt idx="56">
                  <c:v>1962</c:v>
                </c:pt>
                <c:pt idx="57">
                  <c:v>1963</c:v>
                </c:pt>
                <c:pt idx="58">
                  <c:v>1964</c:v>
                </c:pt>
                <c:pt idx="59">
                  <c:v>1965</c:v>
                </c:pt>
                <c:pt idx="60">
                  <c:v>1966</c:v>
                </c:pt>
                <c:pt idx="61">
                  <c:v>1967</c:v>
                </c:pt>
                <c:pt idx="62">
                  <c:v>1968</c:v>
                </c:pt>
                <c:pt idx="63">
                  <c:v>1969</c:v>
                </c:pt>
                <c:pt idx="64">
                  <c:v>1970</c:v>
                </c:pt>
                <c:pt idx="65">
                  <c:v>1971</c:v>
                </c:pt>
                <c:pt idx="66">
                  <c:v>1972</c:v>
                </c:pt>
                <c:pt idx="67">
                  <c:v>1973</c:v>
                </c:pt>
                <c:pt idx="68">
                  <c:v>1974</c:v>
                </c:pt>
                <c:pt idx="69">
                  <c:v>1975</c:v>
                </c:pt>
                <c:pt idx="70">
                  <c:v>1976</c:v>
                </c:pt>
                <c:pt idx="71">
                  <c:v>1977</c:v>
                </c:pt>
                <c:pt idx="72">
                  <c:v>1978</c:v>
                </c:pt>
                <c:pt idx="73">
                  <c:v>1979</c:v>
                </c:pt>
                <c:pt idx="74">
                  <c:v>1980</c:v>
                </c:pt>
                <c:pt idx="75">
                  <c:v>1981</c:v>
                </c:pt>
                <c:pt idx="76">
                  <c:v>1982</c:v>
                </c:pt>
                <c:pt idx="77">
                  <c:v>1983</c:v>
                </c:pt>
                <c:pt idx="78">
                  <c:v>1984</c:v>
                </c:pt>
                <c:pt idx="79">
                  <c:v>1985</c:v>
                </c:pt>
                <c:pt idx="80">
                  <c:v>1986</c:v>
                </c:pt>
                <c:pt idx="81">
                  <c:v>1987</c:v>
                </c:pt>
                <c:pt idx="82">
                  <c:v>1988</c:v>
                </c:pt>
                <c:pt idx="83">
                  <c:v>1989</c:v>
                </c:pt>
                <c:pt idx="84">
                  <c:v>1990</c:v>
                </c:pt>
                <c:pt idx="85">
                  <c:v>1991</c:v>
                </c:pt>
                <c:pt idx="86">
                  <c:v>1992</c:v>
                </c:pt>
                <c:pt idx="87">
                  <c:v>1993</c:v>
                </c:pt>
                <c:pt idx="88">
                  <c:v>1994</c:v>
                </c:pt>
                <c:pt idx="89">
                  <c:v>1995</c:v>
                </c:pt>
                <c:pt idx="90">
                  <c:v>1996</c:v>
                </c:pt>
                <c:pt idx="91">
                  <c:v>1997</c:v>
                </c:pt>
                <c:pt idx="92">
                  <c:v>1998</c:v>
                </c:pt>
                <c:pt idx="93">
                  <c:v>1999</c:v>
                </c:pt>
                <c:pt idx="94">
                  <c:v>2000</c:v>
                </c:pt>
                <c:pt idx="95">
                  <c:v>2001</c:v>
                </c:pt>
                <c:pt idx="96">
                  <c:v>2002</c:v>
                </c:pt>
                <c:pt idx="97">
                  <c:v>2003</c:v>
                </c:pt>
                <c:pt idx="98">
                  <c:v>2004</c:v>
                </c:pt>
                <c:pt idx="99">
                  <c:v>2005</c:v>
                </c:pt>
                <c:pt idx="100">
                  <c:v>2006</c:v>
                </c:pt>
                <c:pt idx="101">
                  <c:v>2007</c:v>
                </c:pt>
                <c:pt idx="102">
                  <c:v>2008</c:v>
                </c:pt>
                <c:pt idx="103">
                  <c:v>2009</c:v>
                </c:pt>
                <c:pt idx="104">
                  <c:v>2010</c:v>
                </c:pt>
                <c:pt idx="105">
                  <c:v>2011</c:v>
                </c:pt>
                <c:pt idx="106">
                  <c:v>2012</c:v>
                </c:pt>
                <c:pt idx="107">
                  <c:v>2013</c:v>
                </c:pt>
                <c:pt idx="108">
                  <c:v>2014</c:v>
                </c:pt>
                <c:pt idx="109">
                  <c:v>2015</c:v>
                </c:pt>
                <c:pt idx="110">
                  <c:v>2016</c:v>
                </c:pt>
              </c:numCache>
            </c:numRef>
          </c:cat>
          <c:val>
            <c:numRef>
              <c:f>'graphique 2 tertiaire'!$B$14:$DH$14</c:f>
              <c:numCache>
                <c:formatCode>General</c:formatCode>
                <c:ptCount val="111"/>
                <c:pt idx="0">
                  <c:v>613.9912272725835</c:v>
                </c:pt>
                <c:pt idx="1">
                  <c:v>609.13554888767771</c:v>
                </c:pt>
                <c:pt idx="2">
                  <c:v>604.27987050277193</c:v>
                </c:pt>
                <c:pt idx="3">
                  <c:v>599.42419211786614</c:v>
                </c:pt>
                <c:pt idx="4">
                  <c:v>594.56851373296047</c:v>
                </c:pt>
                <c:pt idx="5">
                  <c:v>589.71283534805468</c:v>
                </c:pt>
                <c:pt idx="6">
                  <c:v>584.8571569631489</c:v>
                </c:pt>
                <c:pt idx="7">
                  <c:v>580.00147857824311</c:v>
                </c:pt>
                <c:pt idx="8">
                  <c:v>575.14580019333732</c:v>
                </c:pt>
                <c:pt idx="9">
                  <c:v>570.29012180843154</c:v>
                </c:pt>
                <c:pt idx="10">
                  <c:v>565.43444342352586</c:v>
                </c:pt>
                <c:pt idx="11">
                  <c:v>560.57876503862008</c:v>
                </c:pt>
                <c:pt idx="12">
                  <c:v>555.72308665371429</c:v>
                </c:pt>
                <c:pt idx="13">
                  <c:v>550.8674082688085</c:v>
                </c:pt>
                <c:pt idx="14">
                  <c:v>546.01172988390272</c:v>
                </c:pt>
                <c:pt idx="15">
                  <c:v>541.15605149899693</c:v>
                </c:pt>
                <c:pt idx="16">
                  <c:v>536.30037311409114</c:v>
                </c:pt>
                <c:pt idx="17">
                  <c:v>531.44469472918547</c:v>
                </c:pt>
                <c:pt idx="18">
                  <c:v>526.58901634427968</c:v>
                </c:pt>
                <c:pt idx="19">
                  <c:v>521.7333379593739</c:v>
                </c:pt>
                <c:pt idx="20">
                  <c:v>516.87765957446811</c:v>
                </c:pt>
                <c:pt idx="21">
                  <c:v>524.17819148936178</c:v>
                </c:pt>
                <c:pt idx="22">
                  <c:v>531.47872340425533</c:v>
                </c:pt>
                <c:pt idx="23">
                  <c:v>538.77925531914889</c:v>
                </c:pt>
                <c:pt idx="24">
                  <c:v>546.07978723404256</c:v>
                </c:pt>
                <c:pt idx="25">
                  <c:v>553.38031914893622</c:v>
                </c:pt>
                <c:pt idx="26">
                  <c:v>560.68085106382978</c:v>
                </c:pt>
                <c:pt idx="27">
                  <c:v>567.98138297872333</c:v>
                </c:pt>
                <c:pt idx="28">
                  <c:v>575.281914893617</c:v>
                </c:pt>
                <c:pt idx="29">
                  <c:v>582.58244680851067</c:v>
                </c:pt>
                <c:pt idx="30">
                  <c:v>589.88297872340422</c:v>
                </c:pt>
                <c:pt idx="31">
                  <c:v>587.61170212765956</c:v>
                </c:pt>
                <c:pt idx="32">
                  <c:v>585.34042553191489</c:v>
                </c:pt>
                <c:pt idx="33">
                  <c:v>583.06914893617022</c:v>
                </c:pt>
                <c:pt idx="34">
                  <c:v>580.79787234042556</c:v>
                </c:pt>
                <c:pt idx="35">
                  <c:v>578.52659574468078</c:v>
                </c:pt>
                <c:pt idx="36">
                  <c:v>576.25531914893611</c:v>
                </c:pt>
                <c:pt idx="37">
                  <c:v>573.98404255319144</c:v>
                </c:pt>
                <c:pt idx="38">
                  <c:v>571.71276595744678</c:v>
                </c:pt>
                <c:pt idx="39">
                  <c:v>569.44148936170211</c:v>
                </c:pt>
                <c:pt idx="40">
                  <c:v>567.17021276595744</c:v>
                </c:pt>
                <c:pt idx="41">
                  <c:v>564.89893617021278</c:v>
                </c:pt>
                <c:pt idx="42">
                  <c:v>562.62765957446811</c:v>
                </c:pt>
                <c:pt idx="43">
                  <c:v>560.35638297872345</c:v>
                </c:pt>
                <c:pt idx="44">
                  <c:v>558.08510638297867</c:v>
                </c:pt>
                <c:pt idx="45">
                  <c:v>555.813829787234</c:v>
                </c:pt>
                <c:pt idx="46">
                  <c:v>553.54255319148933</c:v>
                </c:pt>
                <c:pt idx="47">
                  <c:v>551.27127659574467</c:v>
                </c:pt>
                <c:pt idx="48">
                  <c:v>549</c:v>
                </c:pt>
                <c:pt idx="49">
                  <c:v>548.48749999999995</c:v>
                </c:pt>
                <c:pt idx="50">
                  <c:v>547.97500000000002</c:v>
                </c:pt>
                <c:pt idx="51">
                  <c:v>547.46249999999998</c:v>
                </c:pt>
                <c:pt idx="52">
                  <c:v>546.95000000000005</c:v>
                </c:pt>
                <c:pt idx="53">
                  <c:v>546.4375</c:v>
                </c:pt>
                <c:pt idx="54">
                  <c:v>545.92499999999995</c:v>
                </c:pt>
                <c:pt idx="55">
                  <c:v>545.41250000000002</c:v>
                </c:pt>
                <c:pt idx="56">
                  <c:v>544.9</c:v>
                </c:pt>
                <c:pt idx="57">
                  <c:v>544.88731542959067</c:v>
                </c:pt>
                <c:pt idx="58">
                  <c:v>544.87463085918148</c:v>
                </c:pt>
                <c:pt idx="59">
                  <c:v>544.86194628877217</c:v>
                </c:pt>
                <c:pt idx="60">
                  <c:v>544.84926171836287</c:v>
                </c:pt>
                <c:pt idx="61">
                  <c:v>544.83657714795356</c:v>
                </c:pt>
                <c:pt idx="62">
                  <c:v>532.1</c:v>
                </c:pt>
                <c:pt idx="63">
                  <c:v>528.58333333333337</c:v>
                </c:pt>
                <c:pt idx="64">
                  <c:v>525.06666666666672</c:v>
                </c:pt>
                <c:pt idx="65">
                  <c:v>521.54999999999995</c:v>
                </c:pt>
                <c:pt idx="66">
                  <c:v>518.0333333333333</c:v>
                </c:pt>
                <c:pt idx="67">
                  <c:v>514.51666666666665</c:v>
                </c:pt>
                <c:pt idx="68">
                  <c:v>511</c:v>
                </c:pt>
                <c:pt idx="69">
                  <c:v>510.99866658200523</c:v>
                </c:pt>
                <c:pt idx="70">
                  <c:v>510.9973331640104</c:v>
                </c:pt>
                <c:pt idx="71">
                  <c:v>510.99599974601563</c:v>
                </c:pt>
                <c:pt idx="72">
                  <c:v>510.9946663280208</c:v>
                </c:pt>
                <c:pt idx="73">
                  <c:v>510.99333291002603</c:v>
                </c:pt>
                <c:pt idx="74">
                  <c:v>508.9</c:v>
                </c:pt>
                <c:pt idx="75">
                  <c:v>513.6</c:v>
                </c:pt>
                <c:pt idx="76">
                  <c:v>518.29999999999995</c:v>
                </c:pt>
                <c:pt idx="77">
                  <c:v>523</c:v>
                </c:pt>
                <c:pt idx="78">
                  <c:v>527.69999999999993</c:v>
                </c:pt>
                <c:pt idx="79">
                  <c:v>532.4</c:v>
                </c:pt>
                <c:pt idx="80">
                  <c:v>537.1</c:v>
                </c:pt>
                <c:pt idx="81">
                  <c:v>541.79999999999995</c:v>
                </c:pt>
                <c:pt idx="82">
                  <c:v>546.5</c:v>
                </c:pt>
                <c:pt idx="83">
                  <c:v>551.19999999999993</c:v>
                </c:pt>
                <c:pt idx="84">
                  <c:v>555.9</c:v>
                </c:pt>
                <c:pt idx="85">
                  <c:v>588.46</c:v>
                </c:pt>
                <c:pt idx="86">
                  <c:v>621.02</c:v>
                </c:pt>
                <c:pt idx="87">
                  <c:v>653.57999999999993</c:v>
                </c:pt>
                <c:pt idx="88">
                  <c:v>686.14</c:v>
                </c:pt>
                <c:pt idx="89">
                  <c:v>718.7</c:v>
                </c:pt>
                <c:pt idx="90">
                  <c:v>751.26</c:v>
                </c:pt>
                <c:pt idx="91">
                  <c:v>783.81999999999994</c:v>
                </c:pt>
                <c:pt idx="92">
                  <c:v>816.38</c:v>
                </c:pt>
                <c:pt idx="93">
                  <c:v>848.94</c:v>
                </c:pt>
                <c:pt idx="94">
                  <c:v>881.5</c:v>
                </c:pt>
                <c:pt idx="95">
                  <c:v>865.16250000000002</c:v>
                </c:pt>
                <c:pt idx="96">
                  <c:v>848.82500000000005</c:v>
                </c:pt>
                <c:pt idx="97">
                  <c:v>832.48749999999995</c:v>
                </c:pt>
                <c:pt idx="98">
                  <c:v>816.15</c:v>
                </c:pt>
                <c:pt idx="99">
                  <c:v>799.8125</c:v>
                </c:pt>
                <c:pt idx="100">
                  <c:v>783.47499999999991</c:v>
                </c:pt>
                <c:pt idx="101">
                  <c:v>767.13749999999993</c:v>
                </c:pt>
                <c:pt idx="102">
                  <c:v>750.8</c:v>
                </c:pt>
                <c:pt idx="103">
                  <c:v>767.6</c:v>
                </c:pt>
                <c:pt idx="104">
                  <c:v>784.4</c:v>
                </c:pt>
                <c:pt idx="105">
                  <c:v>801.2</c:v>
                </c:pt>
                <c:pt idx="106">
                  <c:v>813.38</c:v>
                </c:pt>
                <c:pt idx="107">
                  <c:v>825.56000000000006</c:v>
                </c:pt>
                <c:pt idx="108">
                  <c:v>837.74</c:v>
                </c:pt>
                <c:pt idx="109">
                  <c:v>849.92000000000007</c:v>
                </c:pt>
                <c:pt idx="110">
                  <c:v>862.1</c:v>
                </c:pt>
              </c:numCache>
            </c:numRef>
          </c:val>
          <c:smooth val="0"/>
          <c:extLst>
            <c:ext xmlns:c16="http://schemas.microsoft.com/office/drawing/2014/chart" uri="{C3380CC4-5D6E-409C-BE32-E72D297353CC}">
              <c16:uniqueId val="{00000004-3C0F-FD47-A6C9-AAA3E7A897DA}"/>
            </c:ext>
          </c:extLst>
        </c:ser>
        <c:ser>
          <c:idx val="5"/>
          <c:order val="5"/>
          <c:tx>
            <c:strRef>
              <c:f>'graphique 2 tertiaire'!$A$15</c:f>
              <c:strCache>
                <c:ptCount val="1"/>
                <c:pt idx="0">
                  <c:v>Activ  ménages : employeurs, produc  biens </c:v>
                </c:pt>
              </c:strCache>
            </c:strRef>
          </c:tx>
          <c:spPr>
            <a:ln w="25400">
              <a:solidFill>
                <a:srgbClr val="800000"/>
              </a:solidFill>
              <a:prstDash val="solid"/>
            </a:ln>
          </c:spPr>
          <c:marker>
            <c:symbol val="none"/>
          </c:marker>
          <c:cat>
            <c:numRef>
              <c:f>'graphique 2 tertiaire'!$B$1:$DH$1</c:f>
              <c:numCache>
                <c:formatCode>General</c:formatCode>
                <c:ptCount val="111"/>
                <c:pt idx="0">
                  <c:v>1906</c:v>
                </c:pt>
                <c:pt idx="1">
                  <c:v>1907</c:v>
                </c:pt>
                <c:pt idx="2">
                  <c:v>1908</c:v>
                </c:pt>
                <c:pt idx="3">
                  <c:v>1909</c:v>
                </c:pt>
                <c:pt idx="4">
                  <c:v>1910</c:v>
                </c:pt>
                <c:pt idx="5">
                  <c:v>1911</c:v>
                </c:pt>
                <c:pt idx="6">
                  <c:v>1912</c:v>
                </c:pt>
                <c:pt idx="7">
                  <c:v>1913</c:v>
                </c:pt>
                <c:pt idx="8">
                  <c:v>1914</c:v>
                </c:pt>
                <c:pt idx="9">
                  <c:v>1915</c:v>
                </c:pt>
                <c:pt idx="10">
                  <c:v>1916</c:v>
                </c:pt>
                <c:pt idx="11">
                  <c:v>1917</c:v>
                </c:pt>
                <c:pt idx="12">
                  <c:v>1918</c:v>
                </c:pt>
                <c:pt idx="13">
                  <c:v>1919</c:v>
                </c:pt>
                <c:pt idx="14">
                  <c:v>1920</c:v>
                </c:pt>
                <c:pt idx="15">
                  <c:v>1921</c:v>
                </c:pt>
                <c:pt idx="16">
                  <c:v>1922</c:v>
                </c:pt>
                <c:pt idx="17">
                  <c:v>1923</c:v>
                </c:pt>
                <c:pt idx="18">
                  <c:v>1924</c:v>
                </c:pt>
                <c:pt idx="19">
                  <c:v>1925</c:v>
                </c:pt>
                <c:pt idx="20">
                  <c:v>1926</c:v>
                </c:pt>
                <c:pt idx="21">
                  <c:v>1927</c:v>
                </c:pt>
                <c:pt idx="22">
                  <c:v>1928</c:v>
                </c:pt>
                <c:pt idx="23">
                  <c:v>1929</c:v>
                </c:pt>
                <c:pt idx="24">
                  <c:v>1930</c:v>
                </c:pt>
                <c:pt idx="25">
                  <c:v>1931</c:v>
                </c:pt>
                <c:pt idx="26">
                  <c:v>1932</c:v>
                </c:pt>
                <c:pt idx="27">
                  <c:v>1933</c:v>
                </c:pt>
                <c:pt idx="28">
                  <c:v>1934</c:v>
                </c:pt>
                <c:pt idx="29">
                  <c:v>1935</c:v>
                </c:pt>
                <c:pt idx="30">
                  <c:v>1936</c:v>
                </c:pt>
                <c:pt idx="31">
                  <c:v>1937</c:v>
                </c:pt>
                <c:pt idx="32">
                  <c:v>1938</c:v>
                </c:pt>
                <c:pt idx="33">
                  <c:v>1939</c:v>
                </c:pt>
                <c:pt idx="34">
                  <c:v>1940</c:v>
                </c:pt>
                <c:pt idx="35">
                  <c:v>1941</c:v>
                </c:pt>
                <c:pt idx="36">
                  <c:v>1942</c:v>
                </c:pt>
                <c:pt idx="37">
                  <c:v>1943</c:v>
                </c:pt>
                <c:pt idx="38">
                  <c:v>1944</c:v>
                </c:pt>
                <c:pt idx="39">
                  <c:v>1945</c:v>
                </c:pt>
                <c:pt idx="40">
                  <c:v>1946</c:v>
                </c:pt>
                <c:pt idx="41">
                  <c:v>1947</c:v>
                </c:pt>
                <c:pt idx="42">
                  <c:v>1948</c:v>
                </c:pt>
                <c:pt idx="43">
                  <c:v>1949</c:v>
                </c:pt>
                <c:pt idx="44">
                  <c:v>1950</c:v>
                </c:pt>
                <c:pt idx="45">
                  <c:v>1951</c:v>
                </c:pt>
                <c:pt idx="46">
                  <c:v>1952</c:v>
                </c:pt>
                <c:pt idx="47">
                  <c:v>1953</c:v>
                </c:pt>
                <c:pt idx="48">
                  <c:v>1954</c:v>
                </c:pt>
                <c:pt idx="49">
                  <c:v>1955</c:v>
                </c:pt>
                <c:pt idx="50">
                  <c:v>1956</c:v>
                </c:pt>
                <c:pt idx="51">
                  <c:v>1957</c:v>
                </c:pt>
                <c:pt idx="52">
                  <c:v>1958</c:v>
                </c:pt>
                <c:pt idx="53">
                  <c:v>1959</c:v>
                </c:pt>
                <c:pt idx="54">
                  <c:v>1960</c:v>
                </c:pt>
                <c:pt idx="55">
                  <c:v>1961</c:v>
                </c:pt>
                <c:pt idx="56">
                  <c:v>1962</c:v>
                </c:pt>
                <c:pt idx="57">
                  <c:v>1963</c:v>
                </c:pt>
                <c:pt idx="58">
                  <c:v>1964</c:v>
                </c:pt>
                <c:pt idx="59">
                  <c:v>1965</c:v>
                </c:pt>
                <c:pt idx="60">
                  <c:v>1966</c:v>
                </c:pt>
                <c:pt idx="61">
                  <c:v>1967</c:v>
                </c:pt>
                <c:pt idx="62">
                  <c:v>1968</c:v>
                </c:pt>
                <c:pt idx="63">
                  <c:v>1969</c:v>
                </c:pt>
                <c:pt idx="64">
                  <c:v>1970</c:v>
                </c:pt>
                <c:pt idx="65">
                  <c:v>1971</c:v>
                </c:pt>
                <c:pt idx="66">
                  <c:v>1972</c:v>
                </c:pt>
                <c:pt idx="67">
                  <c:v>1973</c:v>
                </c:pt>
                <c:pt idx="68">
                  <c:v>1974</c:v>
                </c:pt>
                <c:pt idx="69">
                  <c:v>1975</c:v>
                </c:pt>
                <c:pt idx="70">
                  <c:v>1976</c:v>
                </c:pt>
                <c:pt idx="71">
                  <c:v>1977</c:v>
                </c:pt>
                <c:pt idx="72">
                  <c:v>1978</c:v>
                </c:pt>
                <c:pt idx="73">
                  <c:v>1979</c:v>
                </c:pt>
                <c:pt idx="74">
                  <c:v>1980</c:v>
                </c:pt>
                <c:pt idx="75">
                  <c:v>1981</c:v>
                </c:pt>
                <c:pt idx="76">
                  <c:v>1982</c:v>
                </c:pt>
                <c:pt idx="77">
                  <c:v>1983</c:v>
                </c:pt>
                <c:pt idx="78">
                  <c:v>1984</c:v>
                </c:pt>
                <c:pt idx="79">
                  <c:v>1985</c:v>
                </c:pt>
                <c:pt idx="80">
                  <c:v>1986</c:v>
                </c:pt>
                <c:pt idx="81">
                  <c:v>1987</c:v>
                </c:pt>
                <c:pt idx="82">
                  <c:v>1988</c:v>
                </c:pt>
                <c:pt idx="83">
                  <c:v>1989</c:v>
                </c:pt>
                <c:pt idx="84">
                  <c:v>1990</c:v>
                </c:pt>
                <c:pt idx="85">
                  <c:v>1991</c:v>
                </c:pt>
                <c:pt idx="86">
                  <c:v>1992</c:v>
                </c:pt>
                <c:pt idx="87">
                  <c:v>1993</c:v>
                </c:pt>
                <c:pt idx="88">
                  <c:v>1994</c:v>
                </c:pt>
                <c:pt idx="89">
                  <c:v>1995</c:v>
                </c:pt>
                <c:pt idx="90">
                  <c:v>1996</c:v>
                </c:pt>
                <c:pt idx="91">
                  <c:v>1997</c:v>
                </c:pt>
                <c:pt idx="92">
                  <c:v>1998</c:v>
                </c:pt>
                <c:pt idx="93">
                  <c:v>1999</c:v>
                </c:pt>
                <c:pt idx="94">
                  <c:v>2000</c:v>
                </c:pt>
                <c:pt idx="95">
                  <c:v>2001</c:v>
                </c:pt>
                <c:pt idx="96">
                  <c:v>2002</c:v>
                </c:pt>
                <c:pt idx="97">
                  <c:v>2003</c:v>
                </c:pt>
                <c:pt idx="98">
                  <c:v>2004</c:v>
                </c:pt>
                <c:pt idx="99">
                  <c:v>2005</c:v>
                </c:pt>
                <c:pt idx="100">
                  <c:v>2006</c:v>
                </c:pt>
                <c:pt idx="101">
                  <c:v>2007</c:v>
                </c:pt>
                <c:pt idx="102">
                  <c:v>2008</c:v>
                </c:pt>
                <c:pt idx="103">
                  <c:v>2009</c:v>
                </c:pt>
                <c:pt idx="104">
                  <c:v>2010</c:v>
                </c:pt>
                <c:pt idx="105">
                  <c:v>2011</c:v>
                </c:pt>
                <c:pt idx="106">
                  <c:v>2012</c:v>
                </c:pt>
                <c:pt idx="107">
                  <c:v>2013</c:v>
                </c:pt>
                <c:pt idx="108">
                  <c:v>2014</c:v>
                </c:pt>
                <c:pt idx="109">
                  <c:v>2015</c:v>
                </c:pt>
                <c:pt idx="110">
                  <c:v>2016</c:v>
                </c:pt>
              </c:numCache>
            </c:numRef>
          </c:cat>
          <c:val>
            <c:numRef>
              <c:f>'graphique 2 tertiaire'!$B$15:$DH$15</c:f>
              <c:numCache>
                <c:formatCode>General</c:formatCode>
                <c:ptCount val="111"/>
                <c:pt idx="0">
                  <c:v>246.72972661343391</c:v>
                </c:pt>
                <c:pt idx="1">
                  <c:v>242.16453888248401</c:v>
                </c:pt>
                <c:pt idx="2">
                  <c:v>237.59935115153411</c:v>
                </c:pt>
                <c:pt idx="3">
                  <c:v>233.03416342058421</c:v>
                </c:pt>
                <c:pt idx="4">
                  <c:v>228.46897568963428</c:v>
                </c:pt>
                <c:pt idx="5">
                  <c:v>223.90378795868438</c:v>
                </c:pt>
                <c:pt idx="6">
                  <c:v>219.33860022773447</c:v>
                </c:pt>
                <c:pt idx="7">
                  <c:v>214.77341249678457</c:v>
                </c:pt>
                <c:pt idx="8">
                  <c:v>210.20822476583467</c:v>
                </c:pt>
                <c:pt idx="9">
                  <c:v>205.64303703488474</c:v>
                </c:pt>
                <c:pt idx="10">
                  <c:v>201.07784930393484</c:v>
                </c:pt>
                <c:pt idx="11">
                  <c:v>196.51266157298494</c:v>
                </c:pt>
                <c:pt idx="12">
                  <c:v>191.94747384203504</c:v>
                </c:pt>
                <c:pt idx="13">
                  <c:v>187.38228611108514</c:v>
                </c:pt>
                <c:pt idx="14">
                  <c:v>182.81709838013523</c:v>
                </c:pt>
                <c:pt idx="15">
                  <c:v>178.25191064918533</c:v>
                </c:pt>
                <c:pt idx="16">
                  <c:v>173.68672291823543</c:v>
                </c:pt>
                <c:pt idx="17">
                  <c:v>169.12153518728553</c:v>
                </c:pt>
                <c:pt idx="18">
                  <c:v>164.5563474563356</c:v>
                </c:pt>
                <c:pt idx="19">
                  <c:v>159.9911597253857</c:v>
                </c:pt>
                <c:pt idx="20">
                  <c:v>155.4259719944358</c:v>
                </c:pt>
                <c:pt idx="21">
                  <c:v>152.88410235585721</c:v>
                </c:pt>
                <c:pt idx="22">
                  <c:v>150.34223271727862</c:v>
                </c:pt>
                <c:pt idx="23">
                  <c:v>147.8003630787</c:v>
                </c:pt>
                <c:pt idx="24">
                  <c:v>145.25849344012141</c:v>
                </c:pt>
                <c:pt idx="25">
                  <c:v>142.71662380154282</c:v>
                </c:pt>
                <c:pt idx="26">
                  <c:v>140.17475416296423</c:v>
                </c:pt>
                <c:pt idx="27">
                  <c:v>137.63288452438564</c:v>
                </c:pt>
                <c:pt idx="28">
                  <c:v>135.09101488580703</c:v>
                </c:pt>
                <c:pt idx="29">
                  <c:v>132.54914524722844</c:v>
                </c:pt>
                <c:pt idx="30">
                  <c:v>130.00727560864985</c:v>
                </c:pt>
                <c:pt idx="31">
                  <c:v>128.3990755224354</c:v>
                </c:pt>
                <c:pt idx="32">
                  <c:v>126.79087543622094</c:v>
                </c:pt>
                <c:pt idx="33">
                  <c:v>125.18267535000649</c:v>
                </c:pt>
                <c:pt idx="34">
                  <c:v>123.57447526379204</c:v>
                </c:pt>
                <c:pt idx="35">
                  <c:v>121.96627517757759</c:v>
                </c:pt>
                <c:pt idx="36">
                  <c:v>120.35807509136315</c:v>
                </c:pt>
                <c:pt idx="37">
                  <c:v>118.7498750051487</c:v>
                </c:pt>
                <c:pt idx="38">
                  <c:v>117.14167491893424</c:v>
                </c:pt>
                <c:pt idx="39">
                  <c:v>115.53347483271979</c:v>
                </c:pt>
                <c:pt idx="40">
                  <c:v>113.92527474650534</c:v>
                </c:pt>
                <c:pt idx="41">
                  <c:v>112.31707466029088</c:v>
                </c:pt>
                <c:pt idx="42">
                  <c:v>110.70887457407643</c:v>
                </c:pt>
                <c:pt idx="43">
                  <c:v>109.10067448786199</c:v>
                </c:pt>
                <c:pt idx="44">
                  <c:v>107.49247440164754</c:v>
                </c:pt>
                <c:pt idx="45">
                  <c:v>105.88427431543309</c:v>
                </c:pt>
                <c:pt idx="46">
                  <c:v>104.27607422921864</c:v>
                </c:pt>
                <c:pt idx="47">
                  <c:v>102.66787414300418</c:v>
                </c:pt>
                <c:pt idx="48">
                  <c:v>101.05967405678973</c:v>
                </c:pt>
                <c:pt idx="49">
                  <c:v>100.03971479969101</c:v>
                </c:pt>
                <c:pt idx="50">
                  <c:v>99.019755542592293</c:v>
                </c:pt>
                <c:pt idx="51">
                  <c:v>97.999796285493588</c:v>
                </c:pt>
                <c:pt idx="52">
                  <c:v>96.979837028394869</c:v>
                </c:pt>
                <c:pt idx="53">
                  <c:v>95.959877771296149</c:v>
                </c:pt>
                <c:pt idx="54">
                  <c:v>94.939918514197444</c:v>
                </c:pt>
                <c:pt idx="55">
                  <c:v>93.919959257098725</c:v>
                </c:pt>
                <c:pt idx="56">
                  <c:v>92.9</c:v>
                </c:pt>
                <c:pt idx="57">
                  <c:v>92.89524328609653</c:v>
                </c:pt>
                <c:pt idx="58">
                  <c:v>92.890486572193055</c:v>
                </c:pt>
                <c:pt idx="59">
                  <c:v>92.885729858289565</c:v>
                </c:pt>
                <c:pt idx="60">
                  <c:v>92.88097314438609</c:v>
                </c:pt>
                <c:pt idx="61">
                  <c:v>92.876216430482614</c:v>
                </c:pt>
                <c:pt idx="62">
                  <c:v>88.1</c:v>
                </c:pt>
                <c:pt idx="63">
                  <c:v>86.033333333333331</c:v>
                </c:pt>
                <c:pt idx="64">
                  <c:v>83.966666666666669</c:v>
                </c:pt>
                <c:pt idx="65">
                  <c:v>81.900000000000006</c:v>
                </c:pt>
                <c:pt idx="66">
                  <c:v>79.833333333333329</c:v>
                </c:pt>
                <c:pt idx="67">
                  <c:v>77.766666666666666</c:v>
                </c:pt>
                <c:pt idx="68">
                  <c:v>75.7</c:v>
                </c:pt>
                <c:pt idx="69">
                  <c:v>75.689015175566709</c:v>
                </c:pt>
                <c:pt idx="70">
                  <c:v>75.678030351133401</c:v>
                </c:pt>
                <c:pt idx="71">
                  <c:v>75.667045526700107</c:v>
                </c:pt>
                <c:pt idx="72">
                  <c:v>75.656060702266814</c:v>
                </c:pt>
                <c:pt idx="73">
                  <c:v>75.64507587783352</c:v>
                </c:pt>
                <c:pt idx="74">
                  <c:v>58.4</c:v>
                </c:pt>
                <c:pt idx="75">
                  <c:v>59.26</c:v>
                </c:pt>
                <c:pt idx="76">
                  <c:v>60.12</c:v>
                </c:pt>
                <c:pt idx="77">
                  <c:v>60.98</c:v>
                </c:pt>
                <c:pt idx="78">
                  <c:v>61.839999999999996</c:v>
                </c:pt>
                <c:pt idx="79">
                  <c:v>62.7</c:v>
                </c:pt>
                <c:pt idx="80">
                  <c:v>63.56</c:v>
                </c:pt>
                <c:pt idx="81">
                  <c:v>64.42</c:v>
                </c:pt>
                <c:pt idx="82">
                  <c:v>65.28</c:v>
                </c:pt>
                <c:pt idx="83">
                  <c:v>66.14</c:v>
                </c:pt>
                <c:pt idx="84">
                  <c:v>67</c:v>
                </c:pt>
                <c:pt idx="85">
                  <c:v>73.56</c:v>
                </c:pt>
                <c:pt idx="86">
                  <c:v>80.12</c:v>
                </c:pt>
                <c:pt idx="87">
                  <c:v>86.68</c:v>
                </c:pt>
                <c:pt idx="88">
                  <c:v>93.24</c:v>
                </c:pt>
                <c:pt idx="89">
                  <c:v>99.8</c:v>
                </c:pt>
                <c:pt idx="90">
                  <c:v>106.36</c:v>
                </c:pt>
                <c:pt idx="91">
                  <c:v>112.91999999999999</c:v>
                </c:pt>
                <c:pt idx="92">
                  <c:v>119.47999999999999</c:v>
                </c:pt>
                <c:pt idx="93">
                  <c:v>126.03999999999999</c:v>
                </c:pt>
                <c:pt idx="94">
                  <c:v>132.6</c:v>
                </c:pt>
                <c:pt idx="95">
                  <c:v>139.125</c:v>
                </c:pt>
                <c:pt idx="96">
                  <c:v>145.65</c:v>
                </c:pt>
                <c:pt idx="97">
                  <c:v>152.17500000000001</c:v>
                </c:pt>
                <c:pt idx="98">
                  <c:v>158.69999999999999</c:v>
                </c:pt>
                <c:pt idx="99">
                  <c:v>165.22500000000002</c:v>
                </c:pt>
                <c:pt idx="100">
                  <c:v>171.75</c:v>
                </c:pt>
                <c:pt idx="101">
                  <c:v>178.27500000000001</c:v>
                </c:pt>
                <c:pt idx="102">
                  <c:v>184.8</c:v>
                </c:pt>
                <c:pt idx="103">
                  <c:v>183.96666666666667</c:v>
                </c:pt>
                <c:pt idx="104">
                  <c:v>183.13333333333335</c:v>
                </c:pt>
                <c:pt idx="105">
                  <c:v>182.3</c:v>
                </c:pt>
                <c:pt idx="106">
                  <c:v>176.28</c:v>
                </c:pt>
                <c:pt idx="107">
                  <c:v>170.26</c:v>
                </c:pt>
                <c:pt idx="108">
                  <c:v>164.24</c:v>
                </c:pt>
                <c:pt idx="109">
                  <c:v>158.22</c:v>
                </c:pt>
                <c:pt idx="110">
                  <c:v>152.19999999999999</c:v>
                </c:pt>
              </c:numCache>
            </c:numRef>
          </c:val>
          <c:smooth val="0"/>
          <c:extLst>
            <c:ext xmlns:c16="http://schemas.microsoft.com/office/drawing/2014/chart" uri="{C3380CC4-5D6E-409C-BE32-E72D297353CC}">
              <c16:uniqueId val="{00000005-3C0F-FD47-A6C9-AAA3E7A897DA}"/>
            </c:ext>
          </c:extLst>
        </c:ser>
        <c:dLbls>
          <c:showLegendKey val="0"/>
          <c:showVal val="0"/>
          <c:showCatName val="0"/>
          <c:showSerName val="0"/>
          <c:showPercent val="0"/>
          <c:showBubbleSize val="0"/>
        </c:dLbls>
        <c:smooth val="0"/>
        <c:axId val="65063936"/>
        <c:axId val="65340160"/>
      </c:lineChart>
      <c:catAx>
        <c:axId val="65063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fr-FR"/>
          </a:p>
        </c:txPr>
        <c:crossAx val="65340160"/>
        <c:crosses val="autoZero"/>
        <c:auto val="1"/>
        <c:lblAlgn val="ctr"/>
        <c:lblOffset val="100"/>
        <c:tickLblSkip val="6"/>
        <c:tickMarkSkip val="1"/>
        <c:noMultiLvlLbl val="0"/>
      </c:catAx>
      <c:valAx>
        <c:axId val="653401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r-FR"/>
          </a:p>
        </c:txPr>
        <c:crossAx val="65063936"/>
        <c:crosses val="autoZero"/>
        <c:crossBetween val="between"/>
      </c:valAx>
      <c:spPr>
        <a:solidFill>
          <a:srgbClr val="C0C0C0"/>
        </a:solidFill>
        <a:ln w="12700">
          <a:solidFill>
            <a:srgbClr val="808080"/>
          </a:solidFill>
          <a:prstDash val="solid"/>
        </a:ln>
      </c:spPr>
    </c:plotArea>
    <c:legend>
      <c:legendPos val="r"/>
      <c:layout>
        <c:manualLayout>
          <c:xMode val="edge"/>
          <c:yMode val="edge"/>
          <c:x val="0.68094784527036167"/>
          <c:y val="0.14644825971223879"/>
          <c:w val="0.28699634316368661"/>
          <c:h val="0.67156987668040913"/>
        </c:manualLayout>
      </c:layout>
      <c:overlay val="0"/>
      <c:spPr>
        <a:solidFill>
          <a:srgbClr val="FFFFFF"/>
        </a:solidFill>
        <a:ln w="3175">
          <a:solidFill>
            <a:srgbClr val="000000"/>
          </a:solidFill>
          <a:prstDash val="solid"/>
        </a:ln>
      </c:spPr>
      <c:txPr>
        <a:bodyPr/>
        <a:lstStyle/>
        <a:p>
          <a:pPr>
            <a:defRPr sz="118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14</xdr:col>
      <xdr:colOff>762000</xdr:colOff>
      <xdr:row>49</xdr:row>
      <xdr:rowOff>114300</xdr:rowOff>
    </xdr:from>
    <xdr:to>
      <xdr:col>24</xdr:col>
      <xdr:colOff>342900</xdr:colOff>
      <xdr:row>78</xdr:row>
      <xdr:rowOff>114300</xdr:rowOff>
    </xdr:to>
    <xdr:graphicFrame macro="">
      <xdr:nvGraphicFramePr>
        <xdr:cNvPr id="3111" name="Chart 13">
          <a:extLst>
            <a:ext uri="{FF2B5EF4-FFF2-40B4-BE49-F238E27FC236}">
              <a16:creationId xmlns:a16="http://schemas.microsoft.com/office/drawing/2014/main" id="{03D907F3-F7FD-7A4C-98D4-70C7DE5FA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762000</xdr:colOff>
      <xdr:row>49</xdr:row>
      <xdr:rowOff>114300</xdr:rowOff>
    </xdr:from>
    <xdr:to>
      <xdr:col>24</xdr:col>
      <xdr:colOff>342900</xdr:colOff>
      <xdr:row>78</xdr:row>
      <xdr:rowOff>114300</xdr:rowOff>
    </xdr:to>
    <xdr:graphicFrame macro="">
      <xdr:nvGraphicFramePr>
        <xdr:cNvPr id="8218" name="Chart 13">
          <a:extLst>
            <a:ext uri="{FF2B5EF4-FFF2-40B4-BE49-F238E27FC236}">
              <a16:creationId xmlns:a16="http://schemas.microsoft.com/office/drawing/2014/main" id="{4CF0C754-CDD2-2742-AF0C-9004A9962C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3048000</xdr:colOff>
      <xdr:row>0</xdr:row>
      <xdr:rowOff>0</xdr:rowOff>
    </xdr:from>
    <xdr:to>
      <xdr:col>13</xdr:col>
      <xdr:colOff>254000</xdr:colOff>
      <xdr:row>0</xdr:row>
      <xdr:rowOff>0</xdr:rowOff>
    </xdr:to>
    <xdr:graphicFrame macro="">
      <xdr:nvGraphicFramePr>
        <xdr:cNvPr id="9230" name="Chart 1">
          <a:extLst>
            <a:ext uri="{FF2B5EF4-FFF2-40B4-BE49-F238E27FC236}">
              <a16:creationId xmlns:a16="http://schemas.microsoft.com/office/drawing/2014/main" id="{A050B284-F05D-E346-8AA6-1F4E9DE023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2870200</xdr:colOff>
      <xdr:row>0</xdr:row>
      <xdr:rowOff>0</xdr:rowOff>
    </xdr:from>
    <xdr:to>
      <xdr:col>13</xdr:col>
      <xdr:colOff>254000</xdr:colOff>
      <xdr:row>0</xdr:row>
      <xdr:rowOff>0</xdr:rowOff>
    </xdr:to>
    <xdr:graphicFrame macro="">
      <xdr:nvGraphicFramePr>
        <xdr:cNvPr id="10254" name="Chart 1">
          <a:extLst>
            <a:ext uri="{FF2B5EF4-FFF2-40B4-BE49-F238E27FC236}">
              <a16:creationId xmlns:a16="http://schemas.microsoft.com/office/drawing/2014/main" id="{F73331C7-76E7-F848-A7B2-DE6193D446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2870200</xdr:colOff>
      <xdr:row>0</xdr:row>
      <xdr:rowOff>0</xdr:rowOff>
    </xdr:from>
    <xdr:to>
      <xdr:col>13</xdr:col>
      <xdr:colOff>254000</xdr:colOff>
      <xdr:row>0</xdr:row>
      <xdr:rowOff>0</xdr:rowOff>
    </xdr:to>
    <xdr:graphicFrame macro="">
      <xdr:nvGraphicFramePr>
        <xdr:cNvPr id="11291" name="Chart 1">
          <a:extLst>
            <a:ext uri="{FF2B5EF4-FFF2-40B4-BE49-F238E27FC236}">
              <a16:creationId xmlns:a16="http://schemas.microsoft.com/office/drawing/2014/main" id="{D0762F08-B4E2-9D4B-807D-314A1B4336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317500</xdr:colOff>
      <xdr:row>17</xdr:row>
      <xdr:rowOff>101600</xdr:rowOff>
    </xdr:from>
    <xdr:to>
      <xdr:col>9</xdr:col>
      <xdr:colOff>431800</xdr:colOff>
      <xdr:row>54</xdr:row>
      <xdr:rowOff>63500</xdr:rowOff>
    </xdr:to>
    <xdr:graphicFrame macro="">
      <xdr:nvGraphicFramePr>
        <xdr:cNvPr id="11292" name="Chart 2">
          <a:extLst>
            <a:ext uri="{FF2B5EF4-FFF2-40B4-BE49-F238E27FC236}">
              <a16:creationId xmlns:a16="http://schemas.microsoft.com/office/drawing/2014/main" id="{0F5900FF-2AAE-A941-B481-ACCE1F62FA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233;sindustrialisation\Emploi_1949-2012-T38%20base%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233;sindustrialisation1\base2014_6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49-2011"/>
      <sheetName val="49-2011 (2)"/>
      <sheetName val="90-2011 88"/>
      <sheetName val="heures trav"/>
      <sheetName val="Page2"/>
    </sheetNames>
    <sheetDataSet>
      <sheetData sheetId="0" refreshError="1"/>
      <sheetData sheetId="1" refreshError="1">
        <row r="26">
          <cell r="H26">
            <v>1906867.04</v>
          </cell>
          <cell r="P26">
            <v>2248984.355</v>
          </cell>
          <cell r="V26">
            <v>2582461.148</v>
          </cell>
          <cell r="AB26">
            <v>2853342.4139999999</v>
          </cell>
          <cell r="AH26">
            <v>3016817.88</v>
          </cell>
        </row>
        <row r="27">
          <cell r="H27">
            <v>802460.71799999999</v>
          </cell>
          <cell r="P27">
            <v>878065.28799999994</v>
          </cell>
          <cell r="V27">
            <v>972836.50600000005</v>
          </cell>
          <cell r="AB27">
            <v>1057369.8470000001</v>
          </cell>
          <cell r="AH27">
            <v>1131601.662</v>
          </cell>
        </row>
        <row r="28">
          <cell r="H28">
            <v>509298.00400000002</v>
          </cell>
          <cell r="P28">
            <v>542420.24600000004</v>
          </cell>
          <cell r="V28">
            <v>561495.90099999995</v>
          </cell>
          <cell r="AB28">
            <v>606610.13500000001</v>
          </cell>
          <cell r="AH28">
            <v>602707.73300000001</v>
          </cell>
        </row>
        <row r="29">
          <cell r="H29">
            <v>71401.777000000002</v>
          </cell>
          <cell r="P29">
            <v>89447.642999999996</v>
          </cell>
          <cell r="V29">
            <v>101752.069</v>
          </cell>
          <cell r="AB29">
            <v>121253.765</v>
          </cell>
          <cell r="AH29">
            <v>132647.671</v>
          </cell>
          <cell r="AR29">
            <v>169358.58</v>
          </cell>
          <cell r="BB29">
            <v>205688.31599999999</v>
          </cell>
          <cell r="BJ29">
            <v>217002.73199999999</v>
          </cell>
          <cell r="BM29">
            <v>212070.815</v>
          </cell>
        </row>
        <row r="30">
          <cell r="H30">
            <v>75016.960999999996</v>
          </cell>
          <cell r="P30">
            <v>94776.857000000004</v>
          </cell>
          <cell r="V30">
            <v>113639.576</v>
          </cell>
          <cell r="AB30">
            <v>129734.037</v>
          </cell>
          <cell r="AH30">
            <v>150483.40400000001</v>
          </cell>
          <cell r="AR30">
            <v>157609.92800000001</v>
          </cell>
          <cell r="BB30">
            <v>165569.48800000001</v>
          </cell>
          <cell r="BJ30">
            <v>147502.443</v>
          </cell>
          <cell r="BM30">
            <v>136298.568</v>
          </cell>
        </row>
        <row r="31">
          <cell r="H31">
            <v>55148.949000000001</v>
          </cell>
          <cell r="P31">
            <v>65854.563999999998</v>
          </cell>
          <cell r="V31">
            <v>87448.063999999998</v>
          </cell>
          <cell r="AB31">
            <v>114518.15300000001</v>
          </cell>
          <cell r="AH31">
            <v>142769.54199999999</v>
          </cell>
          <cell r="AR31">
            <v>219201.003</v>
          </cell>
          <cell r="BB31">
            <v>365908.52299999999</v>
          </cell>
          <cell r="BJ31">
            <v>435439.65600000002</v>
          </cell>
          <cell r="BM31">
            <v>442560.49300000002</v>
          </cell>
        </row>
        <row r="34">
          <cell r="H34">
            <v>167626.73000000001</v>
          </cell>
          <cell r="P34">
            <v>194967.19200000001</v>
          </cell>
          <cell r="V34">
            <v>265906.59399999998</v>
          </cell>
          <cell r="AB34">
            <v>344481.42200000002</v>
          </cell>
          <cell r="AH34">
            <v>424942.05599999998</v>
          </cell>
        </row>
        <row r="36">
          <cell r="H36">
            <v>78148.566999999995</v>
          </cell>
          <cell r="P36">
            <v>85489.42</v>
          </cell>
          <cell r="V36">
            <v>105089.561</v>
          </cell>
          <cell r="AB36">
            <v>131624.606</v>
          </cell>
          <cell r="AH36">
            <v>162641.41099999999</v>
          </cell>
          <cell r="AR36">
            <v>232241.84599999999</v>
          </cell>
          <cell r="BB36">
            <v>269426.734</v>
          </cell>
          <cell r="BJ36">
            <v>273937.36700000003</v>
          </cell>
          <cell r="BM36">
            <v>261489.215</v>
          </cell>
        </row>
      </sheetData>
      <sheetData sheetId="2" refreshError="1">
        <row r="5">
          <cell r="H5">
            <v>1906867.04</v>
          </cell>
          <cell r="P5">
            <v>2248984.355</v>
          </cell>
          <cell r="V5">
            <v>2582461.148</v>
          </cell>
          <cell r="AB5">
            <v>2853342.4139999999</v>
          </cell>
          <cell r="AH5">
            <v>3016817.88</v>
          </cell>
          <cell r="AR5">
            <v>3186282.8020000001</v>
          </cell>
          <cell r="BB5">
            <v>3364425.1260000002</v>
          </cell>
          <cell r="BJ5">
            <v>3667379.1869999999</v>
          </cell>
          <cell r="BM5">
            <v>3690833.014</v>
          </cell>
        </row>
        <row r="6">
          <cell r="H6">
            <v>802460.71799999999</v>
          </cell>
          <cell r="P6">
            <v>878065.28799999994</v>
          </cell>
          <cell r="V6">
            <v>972836.50600000005</v>
          </cell>
          <cell r="AB6">
            <v>1057369.8470000001</v>
          </cell>
          <cell r="AH6">
            <v>1131601.662</v>
          </cell>
          <cell r="AR6">
            <v>1210626.6510000001</v>
          </cell>
          <cell r="BB6">
            <v>1320670.6910000001</v>
          </cell>
          <cell r="BJ6">
            <v>1407407.277</v>
          </cell>
          <cell r="BM6">
            <v>1388464.628</v>
          </cell>
        </row>
        <row r="7">
          <cell r="H7">
            <v>509298.00400000002</v>
          </cell>
          <cell r="P7">
            <v>542420.24600000004</v>
          </cell>
          <cell r="V7">
            <v>561495.90099999995</v>
          </cell>
          <cell r="AB7">
            <v>606610.13500000001</v>
          </cell>
          <cell r="AH7">
            <v>602707.73300000001</v>
          </cell>
          <cell r="AR7">
            <v>783286.95400000003</v>
          </cell>
          <cell r="BB7">
            <v>934553.69900000002</v>
          </cell>
          <cell r="BJ7">
            <v>1068779.7919999999</v>
          </cell>
          <cell r="BM7">
            <v>1143970.8189999999</v>
          </cell>
        </row>
        <row r="8">
          <cell r="C8">
            <v>69425.808999999994</v>
          </cell>
          <cell r="H8">
            <v>71401.777000000002</v>
          </cell>
        </row>
        <row r="9">
          <cell r="C9">
            <v>64982.733999999997</v>
          </cell>
          <cell r="H9">
            <v>75016.960999999996</v>
          </cell>
        </row>
        <row r="10">
          <cell r="C10">
            <v>50742.830999999998</v>
          </cell>
          <cell r="H10">
            <v>55148.949000000001</v>
          </cell>
        </row>
        <row r="11">
          <cell r="H11">
            <v>218556.30100000001</v>
          </cell>
          <cell r="P11">
            <v>284522.91100000002</v>
          </cell>
          <cell r="V11">
            <v>366479.054</v>
          </cell>
          <cell r="AB11">
            <v>549244.76199999999</v>
          </cell>
          <cell r="AH11">
            <v>651116.41</v>
          </cell>
          <cell r="AR11">
            <v>721828.63699999999</v>
          </cell>
          <cell r="BB11">
            <v>694685.26199999999</v>
          </cell>
          <cell r="BJ11">
            <v>762464.64099999995</v>
          </cell>
          <cell r="BM11">
            <v>776422.48499999999</v>
          </cell>
        </row>
        <row r="12">
          <cell r="H12">
            <v>90526.774999999994</v>
          </cell>
          <cell r="P12">
            <v>107238</v>
          </cell>
          <cell r="V12">
            <v>150915.408</v>
          </cell>
          <cell r="AB12">
            <v>203359.10699999999</v>
          </cell>
          <cell r="AH12">
            <v>248466.79800000001</v>
          </cell>
          <cell r="AR12">
            <v>318119.50799999997</v>
          </cell>
          <cell r="BB12">
            <v>353682.50599999999</v>
          </cell>
          <cell r="BJ12">
            <v>381376.91100000002</v>
          </cell>
          <cell r="BM12">
            <v>359604.43300000002</v>
          </cell>
        </row>
        <row r="13">
          <cell r="H13">
            <v>167626.73000000001</v>
          </cell>
          <cell r="P13">
            <v>194967.19200000001</v>
          </cell>
          <cell r="V13">
            <v>265906.59399999998</v>
          </cell>
          <cell r="AB13">
            <v>344481.42200000002</v>
          </cell>
          <cell r="AH13">
            <v>424942.05599999998</v>
          </cell>
          <cell r="AR13">
            <v>651013.09499999997</v>
          </cell>
        </row>
        <row r="14">
          <cell r="H14">
            <v>149003.54300000001</v>
          </cell>
          <cell r="P14">
            <v>167095.62299999999</v>
          </cell>
          <cell r="V14">
            <v>182197.652</v>
          </cell>
          <cell r="AB14">
            <v>214611.89</v>
          </cell>
          <cell r="AH14">
            <v>264542.57299999997</v>
          </cell>
          <cell r="AR14">
            <v>354355.978</v>
          </cell>
          <cell r="BB14">
            <v>381558.60600000003</v>
          </cell>
          <cell r="BJ14">
            <v>421106.8</v>
          </cell>
          <cell r="BM14">
            <v>442942.837</v>
          </cell>
        </row>
        <row r="16">
          <cell r="H16">
            <v>316223.875</v>
          </cell>
          <cell r="P16">
            <v>370977.09600000002</v>
          </cell>
          <cell r="V16">
            <v>478568.97600000002</v>
          </cell>
          <cell r="AB16">
            <v>613978.67500000005</v>
          </cell>
          <cell r="AH16">
            <v>766602.26699999999</v>
          </cell>
          <cell r="AR16">
            <v>1078616.298</v>
          </cell>
          <cell r="BB16">
            <v>1783218.952</v>
          </cell>
          <cell r="BJ16">
            <v>2043489.0260000001</v>
          </cell>
          <cell r="BM16">
            <v>2031265.7790000001</v>
          </cell>
        </row>
        <row r="17">
          <cell r="H17">
            <v>1412376.51</v>
          </cell>
          <cell r="P17">
            <v>1514331.463</v>
          </cell>
          <cell r="V17">
            <v>1488622.7439999999</v>
          </cell>
          <cell r="AB17">
            <v>1705964.03</v>
          </cell>
          <cell r="AH17">
            <v>1949165.4920000001</v>
          </cell>
          <cell r="AR17">
            <v>2265233.2059999998</v>
          </cell>
          <cell r="BB17">
            <v>2496327.9810000001</v>
          </cell>
          <cell r="BJ17">
            <v>2483374.503</v>
          </cell>
          <cell r="BM17">
            <v>2386735.702</v>
          </cell>
        </row>
        <row r="18">
          <cell r="H18">
            <v>836424.11499999999</v>
          </cell>
          <cell r="P18">
            <v>959492.50899999996</v>
          </cell>
          <cell r="V18">
            <v>1047132.61</v>
          </cell>
          <cell r="AB18">
            <v>1181510.8430000001</v>
          </cell>
          <cell r="AH18">
            <v>1352235.939</v>
          </cell>
          <cell r="AR18">
            <v>1657341.335</v>
          </cell>
          <cell r="BB18">
            <v>1845339.8759999999</v>
          </cell>
          <cell r="BJ18">
            <v>1876007.334</v>
          </cell>
          <cell r="BM18">
            <v>1838141.183</v>
          </cell>
        </row>
        <row r="19">
          <cell r="H19">
            <v>733303.59900000005</v>
          </cell>
          <cell r="P19">
            <v>830557.78</v>
          </cell>
          <cell r="V19">
            <v>934372.84400000004</v>
          </cell>
          <cell r="AB19">
            <v>1076119.9779999999</v>
          </cell>
          <cell r="AH19">
            <v>1241469.095</v>
          </cell>
          <cell r="AR19">
            <v>1547156.345</v>
          </cell>
          <cell r="BB19">
            <v>1535780.689</v>
          </cell>
          <cell r="BJ19">
            <v>1717045.42</v>
          </cell>
          <cell r="BM19">
            <v>1784753.817</v>
          </cell>
        </row>
        <row r="20">
          <cell r="H20">
            <v>472782.88699999999</v>
          </cell>
          <cell r="P20">
            <v>556157.03</v>
          </cell>
          <cell r="V20">
            <v>608461.92000000004</v>
          </cell>
          <cell r="AB20">
            <v>679663.55200000003</v>
          </cell>
          <cell r="AH20">
            <v>746811.93200000003</v>
          </cell>
          <cell r="AR20">
            <v>908020.42799999996</v>
          </cell>
          <cell r="BB20">
            <v>1552379.0549999999</v>
          </cell>
          <cell r="BJ20">
            <v>1770215.4550000001</v>
          </cell>
          <cell r="BM20">
            <v>1899222.125</v>
          </cell>
        </row>
        <row r="21">
          <cell r="H21">
            <v>125192.856</v>
          </cell>
          <cell r="P21">
            <v>143624.576</v>
          </cell>
          <cell r="V21">
            <v>160038.76999999999</v>
          </cell>
          <cell r="AB21">
            <v>199635.88200000001</v>
          </cell>
          <cell r="AH21">
            <v>229434.94699999999</v>
          </cell>
          <cell r="AR21">
            <v>295125.897</v>
          </cell>
          <cell r="BB21">
            <v>416473.47100000002</v>
          </cell>
          <cell r="BJ21">
            <v>531985.98100000003</v>
          </cell>
          <cell r="BM21">
            <v>565658.84299999999</v>
          </cell>
        </row>
        <row r="22">
          <cell r="H22">
            <v>546141.62100000004</v>
          </cell>
          <cell r="P22">
            <v>521882.39500000002</v>
          </cell>
          <cell r="V22">
            <v>507951.98</v>
          </cell>
          <cell r="AB22">
            <v>487466.85600000003</v>
          </cell>
          <cell r="AH22">
            <v>482970.44300000003</v>
          </cell>
          <cell r="AR22">
            <v>520162.02</v>
          </cell>
          <cell r="BB22">
            <v>803494.02800000005</v>
          </cell>
          <cell r="BJ22">
            <v>690031.179</v>
          </cell>
          <cell r="BM22">
            <v>727797.30799999996</v>
          </cell>
        </row>
        <row r="23">
          <cell r="H23">
            <v>92623.281000000003</v>
          </cell>
          <cell r="P23">
            <v>85144.770999999993</v>
          </cell>
          <cell r="V23">
            <v>80408.426000000007</v>
          </cell>
          <cell r="AB23">
            <v>68959.032000000007</v>
          </cell>
          <cell r="AH23">
            <v>53002.97</v>
          </cell>
          <cell r="AR23">
            <v>60730.624000000003</v>
          </cell>
          <cell r="BB23">
            <v>119868.743</v>
          </cell>
          <cell r="BJ23">
            <v>173179.29800000001</v>
          </cell>
          <cell r="BM23">
            <v>167591.4</v>
          </cell>
        </row>
        <row r="25">
          <cell r="H25">
            <v>8659.1241089999985</v>
          </cell>
        </row>
        <row r="26">
          <cell r="H26">
            <v>19733319.892999999</v>
          </cell>
          <cell r="P26">
            <v>20152943.839000002</v>
          </cell>
          <cell r="V26">
            <v>20751730.370000001</v>
          </cell>
          <cell r="AB26">
            <v>22088074.884</v>
          </cell>
          <cell r="AH26">
            <v>22684126.300999999</v>
          </cell>
          <cell r="AR26">
            <v>23668774.352000002</v>
          </cell>
          <cell r="BB26">
            <v>25670635.445</v>
          </cell>
          <cell r="BJ26">
            <v>27167963.313000001</v>
          </cell>
          <cell r="BM26">
            <v>27061100.329999998</v>
          </cell>
        </row>
      </sheetData>
      <sheetData sheetId="3" refreshError="1">
        <row r="51">
          <cell r="C51">
            <v>680796.29399999999</v>
          </cell>
          <cell r="M51">
            <v>713595.96299999999</v>
          </cell>
          <cell r="U51">
            <v>780120.35900000005</v>
          </cell>
          <cell r="X51">
            <v>797367.07700000005</v>
          </cell>
        </row>
        <row r="52">
          <cell r="C52">
            <v>23274.804</v>
          </cell>
          <cell r="M52">
            <v>11797.596</v>
          </cell>
          <cell r="U52">
            <v>13675.36</v>
          </cell>
          <cell r="X52">
            <v>15298.076999999999</v>
          </cell>
        </row>
        <row r="53">
          <cell r="C53">
            <v>61317.03</v>
          </cell>
          <cell r="M53">
            <v>74557.501000000004</v>
          </cell>
          <cell r="U53">
            <v>79295.929999999993</v>
          </cell>
          <cell r="X53">
            <v>71085.081999999995</v>
          </cell>
        </row>
        <row r="54">
          <cell r="C54">
            <v>194255.06899999999</v>
          </cell>
          <cell r="M54">
            <v>253508.201</v>
          </cell>
          <cell r="U54">
            <v>272349.86499999999</v>
          </cell>
          <cell r="X54">
            <v>259858.25099999999</v>
          </cell>
        </row>
        <row r="55">
          <cell r="C55">
            <v>250983.45300000001</v>
          </cell>
          <cell r="M55">
            <v>267211.43</v>
          </cell>
          <cell r="U55">
            <v>261965.76199999999</v>
          </cell>
          <cell r="X55">
            <v>244856.141</v>
          </cell>
        </row>
        <row r="65">
          <cell r="C65">
            <v>452445.94400000002</v>
          </cell>
        </row>
        <row r="66">
          <cell r="C66">
            <v>159764.698</v>
          </cell>
        </row>
        <row r="67">
          <cell r="C67">
            <v>109617.995</v>
          </cell>
        </row>
        <row r="68">
          <cell r="C68">
            <v>318119.50799999997</v>
          </cell>
          <cell r="M68">
            <v>353682.50599999999</v>
          </cell>
          <cell r="U68">
            <v>381376.91100000002</v>
          </cell>
          <cell r="X68">
            <v>359604.43300000002</v>
          </cell>
        </row>
        <row r="69">
          <cell r="C69">
            <v>237851.478</v>
          </cell>
          <cell r="M69">
            <v>275841.522</v>
          </cell>
          <cell r="U69">
            <v>320012.01699999999</v>
          </cell>
          <cell r="X69">
            <v>326492.875</v>
          </cell>
        </row>
        <row r="71">
          <cell r="C71">
            <v>253879.111</v>
          </cell>
          <cell r="M71">
            <v>261181.69500000001</v>
          </cell>
          <cell r="U71">
            <v>354989.75400000002</v>
          </cell>
          <cell r="X71">
            <v>367079.70600000001</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6208 en niveau"/>
      <sheetName val="t_6208 en évolution en %"/>
    </sheetNames>
    <sheetDataSet>
      <sheetData sheetId="0" refreshError="1">
        <row r="28">
          <cell r="H28">
            <v>1940.2087609999999</v>
          </cell>
        </row>
        <row r="30">
          <cell r="BS30">
            <v>1234.2235889999999</v>
          </cell>
        </row>
        <row r="38">
          <cell r="AH38">
            <v>427.20134499999995</v>
          </cell>
        </row>
        <row r="39">
          <cell r="AH39">
            <v>230.268799</v>
          </cell>
        </row>
        <row r="40">
          <cell r="AH40">
            <v>160.14369200000002</v>
          </cell>
          <cell r="AR40">
            <v>228.33766200000002</v>
          </cell>
          <cell r="BB40">
            <v>264.73490999999996</v>
          </cell>
          <cell r="BJ40">
            <v>268.77171299999998</v>
          </cell>
          <cell r="BM40">
            <v>263.17254599999995</v>
          </cell>
        </row>
      </sheetData>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J316"/>
  <sheetViews>
    <sheetView workbookViewId="0">
      <pane xSplit="1" ySplit="3" topLeftCell="D4" activePane="bottomRight" state="frozen"/>
      <selection pane="topRight" activeCell="B1" sqref="B1"/>
      <selection pane="bottomLeft" activeCell="A4" sqref="A4"/>
      <selection pane="bottomRight" activeCell="A3" sqref="A3"/>
    </sheetView>
  </sheetViews>
  <sheetFormatPr baseColWidth="10" defaultColWidth="10.7109375" defaultRowHeight="12.75" x14ac:dyDescent="0.2"/>
  <cols>
    <col min="1" max="1" width="34.28515625" customWidth="1"/>
  </cols>
  <sheetData>
    <row r="1" spans="1:10" x14ac:dyDescent="0.2">
      <c r="A1" t="s">
        <v>0</v>
      </c>
    </row>
    <row r="2" spans="1:10" x14ac:dyDescent="0.2">
      <c r="A2" t="s">
        <v>106</v>
      </c>
    </row>
    <row r="3" spans="1:10" x14ac:dyDescent="0.2">
      <c r="A3" t="s">
        <v>2</v>
      </c>
      <c r="B3">
        <v>1896</v>
      </c>
      <c r="C3">
        <v>1906</v>
      </c>
      <c r="D3">
        <v>1926</v>
      </c>
      <c r="E3">
        <v>1936</v>
      </c>
      <c r="F3">
        <v>1954</v>
      </c>
      <c r="G3">
        <v>1962</v>
      </c>
      <c r="H3">
        <v>1968</v>
      </c>
      <c r="I3">
        <v>1974</v>
      </c>
      <c r="J3">
        <v>1980</v>
      </c>
    </row>
    <row r="4" spans="1:10" x14ac:dyDescent="0.2">
      <c r="A4" t="s">
        <v>3</v>
      </c>
    </row>
    <row r="5" spans="1:10" x14ac:dyDescent="0.2">
      <c r="A5" t="s">
        <v>4</v>
      </c>
    </row>
    <row r="6" spans="1:10" x14ac:dyDescent="0.2">
      <c r="A6" t="s">
        <v>5</v>
      </c>
      <c r="B6">
        <v>2</v>
      </c>
      <c r="C6">
        <v>6</v>
      </c>
      <c r="D6">
        <v>11</v>
      </c>
      <c r="E6">
        <v>14</v>
      </c>
      <c r="F6">
        <v>26</v>
      </c>
      <c r="G6">
        <v>62</v>
      </c>
      <c r="H6">
        <v>110</v>
      </c>
      <c r="I6">
        <v>159</v>
      </c>
      <c r="J6">
        <v>194</v>
      </c>
    </row>
    <row r="7" spans="1:10" x14ac:dyDescent="0.2">
      <c r="A7" t="s">
        <v>6</v>
      </c>
      <c r="B7">
        <v>15</v>
      </c>
      <c r="C7">
        <v>18</v>
      </c>
      <c r="D7">
        <v>26</v>
      </c>
      <c r="E7">
        <v>24</v>
      </c>
      <c r="F7">
        <v>33</v>
      </c>
      <c r="G7">
        <v>39</v>
      </c>
      <c r="H7">
        <v>55</v>
      </c>
      <c r="I7">
        <v>62</v>
      </c>
      <c r="J7">
        <v>63</v>
      </c>
    </row>
    <row r="8" spans="1:10" x14ac:dyDescent="0.2">
      <c r="A8" t="s">
        <v>7</v>
      </c>
      <c r="B8">
        <v>5</v>
      </c>
      <c r="C8">
        <v>5</v>
      </c>
      <c r="D8">
        <v>14</v>
      </c>
      <c r="E8">
        <v>14</v>
      </c>
      <c r="F8">
        <v>26</v>
      </c>
      <c r="G8">
        <v>26</v>
      </c>
      <c r="H8">
        <v>47</v>
      </c>
      <c r="I8">
        <v>58</v>
      </c>
      <c r="J8">
        <v>83</v>
      </c>
    </row>
    <row r="9" spans="1:10" x14ac:dyDescent="0.2">
      <c r="A9" t="s">
        <v>8</v>
      </c>
      <c r="B9">
        <v>34</v>
      </c>
      <c r="C9">
        <v>38</v>
      </c>
      <c r="D9">
        <v>44</v>
      </c>
      <c r="E9">
        <v>50</v>
      </c>
      <c r="F9">
        <v>59</v>
      </c>
      <c r="G9">
        <v>62</v>
      </c>
      <c r="H9">
        <v>78</v>
      </c>
      <c r="I9">
        <v>91</v>
      </c>
      <c r="J9">
        <v>104</v>
      </c>
    </row>
    <row r="10" spans="1:10" x14ac:dyDescent="0.2">
      <c r="A10" t="s">
        <v>9</v>
      </c>
      <c r="B10">
        <v>2</v>
      </c>
      <c r="C10">
        <v>4</v>
      </c>
      <c r="D10">
        <v>12</v>
      </c>
      <c r="E10">
        <v>30</v>
      </c>
      <c r="F10">
        <v>28</v>
      </c>
      <c r="G10">
        <v>33</v>
      </c>
      <c r="H10">
        <v>50</v>
      </c>
      <c r="I10">
        <v>62</v>
      </c>
      <c r="J10">
        <v>75</v>
      </c>
    </row>
    <row r="11" spans="1:10" x14ac:dyDescent="0.2">
      <c r="A11" t="s">
        <v>10</v>
      </c>
      <c r="B11">
        <v>2</v>
      </c>
      <c r="C11">
        <v>3</v>
      </c>
      <c r="D11">
        <v>8</v>
      </c>
      <c r="E11">
        <v>15</v>
      </c>
      <c r="F11">
        <v>21</v>
      </c>
      <c r="G11">
        <v>29</v>
      </c>
      <c r="H11">
        <v>35</v>
      </c>
      <c r="I11">
        <v>39</v>
      </c>
      <c r="J11">
        <v>45</v>
      </c>
    </row>
    <row r="12" spans="1:10" x14ac:dyDescent="0.2">
      <c r="A12" t="s">
        <v>11</v>
      </c>
      <c r="B12">
        <v>7</v>
      </c>
      <c r="C12">
        <v>10</v>
      </c>
      <c r="D12">
        <v>28</v>
      </c>
      <c r="E12">
        <v>30</v>
      </c>
      <c r="F12">
        <v>40</v>
      </c>
      <c r="G12">
        <v>50</v>
      </c>
      <c r="H12">
        <v>71</v>
      </c>
      <c r="I12">
        <v>77</v>
      </c>
      <c r="J12">
        <v>77</v>
      </c>
    </row>
    <row r="13" spans="1:10" x14ac:dyDescent="0.2">
      <c r="A13" t="s">
        <v>12</v>
      </c>
      <c r="F13">
        <v>2</v>
      </c>
      <c r="G13">
        <v>7</v>
      </c>
      <c r="H13">
        <v>23</v>
      </c>
      <c r="I13">
        <v>71</v>
      </c>
      <c r="J13">
        <v>154</v>
      </c>
    </row>
    <row r="14" spans="1:10" x14ac:dyDescent="0.2">
      <c r="A14" t="s">
        <v>13</v>
      </c>
      <c r="B14">
        <v>15</v>
      </c>
      <c r="C14">
        <v>19</v>
      </c>
      <c r="D14">
        <v>29</v>
      </c>
      <c r="E14">
        <v>36</v>
      </c>
      <c r="F14">
        <v>-57</v>
      </c>
      <c r="G14">
        <v>20</v>
      </c>
      <c r="H14">
        <v>34</v>
      </c>
      <c r="I14">
        <v>46</v>
      </c>
      <c r="J14">
        <v>40</v>
      </c>
    </row>
    <row r="15" spans="1:10" x14ac:dyDescent="0.2">
      <c r="A15" t="s">
        <v>24</v>
      </c>
      <c r="G15">
        <v>32</v>
      </c>
      <c r="H15">
        <v>49</v>
      </c>
      <c r="I15">
        <v>53</v>
      </c>
      <c r="J15">
        <v>78</v>
      </c>
    </row>
    <row r="16" spans="1:10" x14ac:dyDescent="0.2">
      <c r="A16" t="s">
        <v>28</v>
      </c>
      <c r="B16">
        <v>30</v>
      </c>
      <c r="C16">
        <v>38</v>
      </c>
      <c r="D16">
        <v>44</v>
      </c>
      <c r="E16">
        <v>32</v>
      </c>
      <c r="F16">
        <v>25</v>
      </c>
      <c r="G16">
        <v>26</v>
      </c>
      <c r="H16">
        <v>23</v>
      </c>
      <c r="I16">
        <v>25</v>
      </c>
      <c r="J16">
        <v>18</v>
      </c>
    </row>
    <row r="17" spans="1:10" x14ac:dyDescent="0.2">
      <c r="A17" t="s">
        <v>29</v>
      </c>
      <c r="B17">
        <v>10</v>
      </c>
      <c r="C17">
        <v>14</v>
      </c>
      <c r="D17">
        <v>20</v>
      </c>
      <c r="E17">
        <v>15</v>
      </c>
      <c r="F17">
        <v>-20</v>
      </c>
      <c r="G17">
        <v>-22</v>
      </c>
      <c r="H17">
        <v>-27</v>
      </c>
      <c r="I17">
        <v>31</v>
      </c>
      <c r="J17">
        <v>34</v>
      </c>
    </row>
    <row r="18" spans="1:10" x14ac:dyDescent="0.2">
      <c r="A18" t="s">
        <v>14</v>
      </c>
      <c r="B18">
        <v>13</v>
      </c>
      <c r="C18">
        <v>14</v>
      </c>
      <c r="D18">
        <v>15</v>
      </c>
      <c r="E18">
        <v>14</v>
      </c>
      <c r="F18">
        <v>-11</v>
      </c>
      <c r="G18">
        <v>-11</v>
      </c>
      <c r="H18">
        <v>-20</v>
      </c>
      <c r="I18">
        <v>26</v>
      </c>
      <c r="J18">
        <v>33</v>
      </c>
    </row>
    <row r="19" spans="1:10" x14ac:dyDescent="0.2">
      <c r="A19" t="s">
        <v>15</v>
      </c>
      <c r="B19">
        <v>155</v>
      </c>
      <c r="C19">
        <v>187</v>
      </c>
      <c r="D19">
        <v>263</v>
      </c>
      <c r="E19">
        <v>282</v>
      </c>
      <c r="F19">
        <v>348</v>
      </c>
      <c r="G19">
        <v>419</v>
      </c>
      <c r="H19">
        <v>622</v>
      </c>
      <c r="I19">
        <v>800</v>
      </c>
      <c r="J19">
        <v>998</v>
      </c>
    </row>
    <row r="20" spans="1:10" x14ac:dyDescent="0.2">
      <c r="A20" t="s">
        <v>16</v>
      </c>
      <c r="B20">
        <v>442</v>
      </c>
      <c r="C20">
        <v>535</v>
      </c>
      <c r="D20">
        <v>499</v>
      </c>
      <c r="E20">
        <v>549</v>
      </c>
      <c r="F20">
        <v>501</v>
      </c>
      <c r="G20">
        <v>514</v>
      </c>
      <c r="H20">
        <v>529</v>
      </c>
      <c r="I20">
        <v>567</v>
      </c>
      <c r="J20">
        <v>595</v>
      </c>
    </row>
    <row r="21" spans="1:10" x14ac:dyDescent="0.2">
      <c r="A21" t="s">
        <v>17</v>
      </c>
      <c r="B21">
        <v>10</v>
      </c>
      <c r="C21">
        <v>26</v>
      </c>
      <c r="D21">
        <v>99</v>
      </c>
      <c r="E21">
        <v>126</v>
      </c>
      <c r="F21">
        <v>189</v>
      </c>
      <c r="G21">
        <v>243</v>
      </c>
      <c r="H21">
        <v>332</v>
      </c>
      <c r="I21">
        <v>383</v>
      </c>
      <c r="J21">
        <v>419</v>
      </c>
    </row>
    <row r="22" spans="1:10" x14ac:dyDescent="0.2">
      <c r="A22" t="s">
        <v>3</v>
      </c>
    </row>
    <row r="23" spans="1:10" x14ac:dyDescent="0.2">
      <c r="A23" t="s">
        <v>18</v>
      </c>
    </row>
    <row r="24" spans="1:10" x14ac:dyDescent="0.2">
      <c r="A24" t="s">
        <v>19</v>
      </c>
      <c r="B24">
        <v>81</v>
      </c>
      <c r="C24">
        <v>120</v>
      </c>
      <c r="D24">
        <v>175</v>
      </c>
      <c r="E24">
        <v>227</v>
      </c>
      <c r="F24">
        <v>352</v>
      </c>
      <c r="G24">
        <v>457</v>
      </c>
      <c r="H24">
        <v>627</v>
      </c>
      <c r="I24">
        <v>931</v>
      </c>
      <c r="J24" s="1">
        <v>1318</v>
      </c>
    </row>
    <row r="25" spans="1:10" x14ac:dyDescent="0.2">
      <c r="A25" t="s">
        <v>20</v>
      </c>
      <c r="B25">
        <v>98</v>
      </c>
      <c r="C25">
        <v>100</v>
      </c>
      <c r="D25">
        <v>90</v>
      </c>
      <c r="E25">
        <v>82</v>
      </c>
      <c r="F25">
        <v>84</v>
      </c>
      <c r="G25">
        <v>61</v>
      </c>
      <c r="H25">
        <v>46</v>
      </c>
      <c r="I25">
        <v>36</v>
      </c>
      <c r="J25">
        <v>36</v>
      </c>
    </row>
    <row r="26" spans="1:10" x14ac:dyDescent="0.2">
      <c r="A26" t="s">
        <v>21</v>
      </c>
      <c r="B26">
        <v>6</v>
      </c>
      <c r="C26">
        <v>9</v>
      </c>
      <c r="D26">
        <v>13</v>
      </c>
      <c r="E26">
        <v>16</v>
      </c>
      <c r="F26">
        <v>20</v>
      </c>
      <c r="G26">
        <v>27</v>
      </c>
      <c r="H26">
        <v>35</v>
      </c>
      <c r="I26">
        <v>53</v>
      </c>
      <c r="J26">
        <v>70</v>
      </c>
    </row>
    <row r="27" spans="1:10" x14ac:dyDescent="0.2">
      <c r="A27" t="s">
        <v>22</v>
      </c>
      <c r="C27">
        <v>2</v>
      </c>
      <c r="D27">
        <v>9</v>
      </c>
      <c r="E27">
        <v>20</v>
      </c>
      <c r="F27">
        <v>24</v>
      </c>
      <c r="G27">
        <v>26</v>
      </c>
      <c r="H27">
        <v>21</v>
      </c>
      <c r="I27">
        <v>19</v>
      </c>
      <c r="J27">
        <v>16</v>
      </c>
    </row>
    <row r="28" spans="1:10" x14ac:dyDescent="0.2">
      <c r="A28" t="s">
        <v>23</v>
      </c>
      <c r="B28">
        <v>60</v>
      </c>
      <c r="C28">
        <v>66</v>
      </c>
      <c r="D28">
        <v>73</v>
      </c>
      <c r="E28">
        <v>71</v>
      </c>
      <c r="F28">
        <v>71</v>
      </c>
      <c r="G28">
        <v>73</v>
      </c>
      <c r="H28">
        <v>88</v>
      </c>
      <c r="I28">
        <v>102</v>
      </c>
      <c r="J28">
        <v>113</v>
      </c>
    </row>
    <row r="29" spans="1:10" x14ac:dyDescent="0.2">
      <c r="A29" t="s">
        <v>24</v>
      </c>
      <c r="B29">
        <v>173</v>
      </c>
      <c r="C29">
        <v>187</v>
      </c>
      <c r="D29">
        <v>85</v>
      </c>
      <c r="E29">
        <v>69</v>
      </c>
      <c r="F29">
        <v>68</v>
      </c>
      <c r="G29">
        <v>69</v>
      </c>
      <c r="H29">
        <v>66</v>
      </c>
      <c r="I29">
        <v>59</v>
      </c>
      <c r="J29">
        <v>48</v>
      </c>
    </row>
    <row r="30" spans="1:10" x14ac:dyDescent="0.2">
      <c r="A30" t="s">
        <v>27</v>
      </c>
      <c r="B30">
        <v>56</v>
      </c>
      <c r="C30">
        <v>67</v>
      </c>
      <c r="D30">
        <v>67</v>
      </c>
      <c r="E30">
        <v>134</v>
      </c>
      <c r="F30">
        <v>105</v>
      </c>
      <c r="G30">
        <v>129</v>
      </c>
      <c r="H30">
        <v>139</v>
      </c>
      <c r="I30">
        <v>133</v>
      </c>
      <c r="J30">
        <v>136</v>
      </c>
    </row>
    <row r="31" spans="1:10" x14ac:dyDescent="0.2">
      <c r="A31" t="s">
        <v>24</v>
      </c>
      <c r="B31">
        <v>31</v>
      </c>
      <c r="C31">
        <v>37</v>
      </c>
      <c r="D31">
        <v>39</v>
      </c>
      <c r="E31">
        <v>48</v>
      </c>
      <c r="F31">
        <v>48</v>
      </c>
      <c r="G31">
        <v>46</v>
      </c>
      <c r="H31">
        <v>67</v>
      </c>
      <c r="I31">
        <v>107</v>
      </c>
      <c r="J31">
        <v>134</v>
      </c>
    </row>
    <row r="32" spans="1:10" x14ac:dyDescent="0.2">
      <c r="A32" t="s">
        <v>15</v>
      </c>
      <c r="B32">
        <v>505</v>
      </c>
      <c r="C32">
        <v>588</v>
      </c>
      <c r="D32">
        <v>551</v>
      </c>
      <c r="E32">
        <v>667</v>
      </c>
      <c r="F32">
        <v>772</v>
      </c>
      <c r="G32">
        <v>888</v>
      </c>
      <c r="H32" s="1">
        <v>1089</v>
      </c>
      <c r="I32" s="1">
        <v>1440</v>
      </c>
      <c r="J32" s="1">
        <v>1871</v>
      </c>
    </row>
    <row r="33" spans="1:10" x14ac:dyDescent="0.2">
      <c r="A33" t="s">
        <v>62</v>
      </c>
      <c r="B33" s="1">
        <v>1112</v>
      </c>
      <c r="C33" s="1">
        <v>1336</v>
      </c>
      <c r="D33">
        <v>1412</v>
      </c>
      <c r="E33">
        <v>1624</v>
      </c>
      <c r="F33">
        <v>1810</v>
      </c>
      <c r="G33" s="1">
        <v>2064</v>
      </c>
      <c r="H33" s="1">
        <v>2572</v>
      </c>
      <c r="I33">
        <v>3190</v>
      </c>
      <c r="J33" s="1">
        <v>3883</v>
      </c>
    </row>
    <row r="35" spans="1:10" x14ac:dyDescent="0.2">
      <c r="B35" s="4">
        <f t="shared" ref="B35:J35" si="0">B25+B28+B29+B30+B31</f>
        <v>418</v>
      </c>
      <c r="C35" s="4">
        <f t="shared" si="0"/>
        <v>457</v>
      </c>
      <c r="D35" s="4">
        <f t="shared" si="0"/>
        <v>354</v>
      </c>
      <c r="E35" s="4">
        <f t="shared" si="0"/>
        <v>404</v>
      </c>
      <c r="F35" s="4">
        <f t="shared" si="0"/>
        <v>376</v>
      </c>
      <c r="G35" s="4">
        <f t="shared" si="0"/>
        <v>378</v>
      </c>
      <c r="H35" s="4">
        <f t="shared" si="0"/>
        <v>406</v>
      </c>
      <c r="I35" s="4">
        <f t="shared" si="0"/>
        <v>437</v>
      </c>
      <c r="J35" s="4">
        <f t="shared" si="0"/>
        <v>467</v>
      </c>
    </row>
    <row r="36" spans="1:10" x14ac:dyDescent="0.2">
      <c r="A36" t="s">
        <v>1</v>
      </c>
    </row>
    <row r="37" spans="1:10" x14ac:dyDescent="0.2">
      <c r="B37">
        <v>1896</v>
      </c>
      <c r="C37">
        <v>1906</v>
      </c>
      <c r="D37">
        <v>1926</v>
      </c>
      <c r="E37">
        <v>1936</v>
      </c>
      <c r="F37">
        <v>1954</v>
      </c>
      <c r="G37">
        <v>1962</v>
      </c>
      <c r="H37">
        <v>1968</v>
      </c>
      <c r="I37">
        <v>1974</v>
      </c>
      <c r="J37">
        <v>1980</v>
      </c>
    </row>
    <row r="38" spans="1:10" x14ac:dyDescent="0.2">
      <c r="A38" t="s">
        <v>30</v>
      </c>
    </row>
    <row r="39" spans="1:10" x14ac:dyDescent="0.2">
      <c r="A39" t="s">
        <v>31</v>
      </c>
      <c r="B39">
        <v>948</v>
      </c>
      <c r="C39">
        <v>948</v>
      </c>
      <c r="D39">
        <v>780</v>
      </c>
      <c r="E39">
        <v>759</v>
      </c>
      <c r="F39">
        <v>590</v>
      </c>
      <c r="G39">
        <v>510</v>
      </c>
      <c r="H39">
        <v>485</v>
      </c>
      <c r="I39">
        <v>380</v>
      </c>
      <c r="J39">
        <v>335</v>
      </c>
    </row>
    <row r="40" spans="1:10" x14ac:dyDescent="0.2">
      <c r="A40" t="s">
        <v>32</v>
      </c>
      <c r="B40" s="1">
        <v>1021</v>
      </c>
      <c r="C40">
        <v>1060</v>
      </c>
      <c r="D40">
        <v>972</v>
      </c>
      <c r="E40" s="1">
        <v>1190</v>
      </c>
      <c r="F40">
        <v>2138</v>
      </c>
      <c r="G40" s="1">
        <v>2512</v>
      </c>
      <c r="H40" s="1">
        <v>2587</v>
      </c>
      <c r="I40" s="1">
        <v>3042</v>
      </c>
      <c r="J40" s="1">
        <v>3335</v>
      </c>
    </row>
    <row r="41" spans="1:10" x14ac:dyDescent="0.2">
      <c r="A41" t="s">
        <v>33</v>
      </c>
      <c r="F41">
        <f>B40/F40</f>
        <v>0.47754911131898969</v>
      </c>
    </row>
    <row r="42" spans="1:10" x14ac:dyDescent="0.2">
      <c r="A42" t="s">
        <v>34</v>
      </c>
      <c r="B42">
        <v>451</v>
      </c>
      <c r="C42" s="2">
        <v>465</v>
      </c>
      <c r="D42" s="2">
        <v>617</v>
      </c>
      <c r="E42" s="2">
        <v>680</v>
      </c>
      <c r="F42" s="1">
        <v>1229</v>
      </c>
      <c r="G42" s="1">
        <v>1580</v>
      </c>
      <c r="H42" s="1">
        <v>2003</v>
      </c>
      <c r="I42" s="1">
        <v>2462</v>
      </c>
      <c r="J42" s="1">
        <v>2766</v>
      </c>
    </row>
    <row r="43" spans="1:10" x14ac:dyDescent="0.2">
      <c r="A43" t="s">
        <v>35</v>
      </c>
      <c r="B43" s="2">
        <v>115</v>
      </c>
      <c r="C43" s="2">
        <v>91</v>
      </c>
      <c r="D43" s="2">
        <v>105</v>
      </c>
      <c r="E43" s="2">
        <v>120</v>
      </c>
      <c r="F43">
        <v>103</v>
      </c>
      <c r="G43">
        <v>89</v>
      </c>
      <c r="H43">
        <v>82</v>
      </c>
      <c r="I43">
        <v>85</v>
      </c>
      <c r="J43">
        <v>86</v>
      </c>
    </row>
    <row r="44" spans="1:10" x14ac:dyDescent="0.2">
      <c r="A44" t="s">
        <v>36</v>
      </c>
      <c r="B44" s="2">
        <v>116</v>
      </c>
      <c r="C44" s="2">
        <v>104</v>
      </c>
      <c r="D44" s="2">
        <v>95</v>
      </c>
      <c r="E44" s="2">
        <v>107</v>
      </c>
      <c r="F44">
        <v>90</v>
      </c>
      <c r="G44">
        <v>103</v>
      </c>
      <c r="H44">
        <v>126</v>
      </c>
      <c r="I44">
        <v>145</v>
      </c>
      <c r="J44">
        <v>157</v>
      </c>
    </row>
    <row r="45" spans="1:10" x14ac:dyDescent="0.2">
      <c r="A45" t="s">
        <v>53</v>
      </c>
      <c r="B45" s="3">
        <v>2200</v>
      </c>
      <c r="C45" s="3">
        <v>2203</v>
      </c>
      <c r="D45" s="3">
        <v>1952</v>
      </c>
      <c r="E45" s="2">
        <v>2176</v>
      </c>
      <c r="F45" s="1">
        <v>2921</v>
      </c>
      <c r="G45" s="1">
        <v>3214</v>
      </c>
      <c r="H45" s="1">
        <v>3280</v>
      </c>
      <c r="I45" s="1">
        <v>3652</v>
      </c>
      <c r="J45" s="1">
        <v>3913</v>
      </c>
    </row>
    <row r="46" spans="1:10" x14ac:dyDescent="0.2">
      <c r="A46" t="s">
        <v>54</v>
      </c>
      <c r="B46" s="2" t="s">
        <v>50</v>
      </c>
      <c r="C46" s="2">
        <v>3</v>
      </c>
      <c r="D46" s="2">
        <v>5</v>
      </c>
      <c r="E46" s="2">
        <v>9</v>
      </c>
      <c r="F46">
        <v>15</v>
      </c>
      <c r="G46">
        <v>16</v>
      </c>
      <c r="H46">
        <v>27</v>
      </c>
      <c r="I46">
        <v>54</v>
      </c>
      <c r="J46">
        <v>63</v>
      </c>
    </row>
    <row r="47" spans="1:10" x14ac:dyDescent="0.2">
      <c r="A47" t="s">
        <v>55</v>
      </c>
      <c r="B47" s="2">
        <v>54</v>
      </c>
      <c r="C47" s="2">
        <v>82</v>
      </c>
      <c r="D47" s="2">
        <v>195</v>
      </c>
      <c r="E47" s="2">
        <v>210</v>
      </c>
      <c r="F47">
        <v>195</v>
      </c>
      <c r="G47">
        <v>253</v>
      </c>
      <c r="H47">
        <v>326</v>
      </c>
      <c r="I47">
        <v>479</v>
      </c>
      <c r="J47">
        <v>539</v>
      </c>
    </row>
    <row r="48" spans="1:10" x14ac:dyDescent="0.2">
      <c r="A48" t="s">
        <v>37</v>
      </c>
    </row>
    <row r="49" spans="1:10" x14ac:dyDescent="0.2">
      <c r="A49" t="s">
        <v>38</v>
      </c>
      <c r="F49">
        <v>220</v>
      </c>
      <c r="G49">
        <v>267</v>
      </c>
      <c r="H49">
        <v>276</v>
      </c>
      <c r="I49">
        <v>297</v>
      </c>
      <c r="J49">
        <v>290</v>
      </c>
    </row>
    <row r="50" spans="1:10" x14ac:dyDescent="0.2">
      <c r="A50" t="s">
        <v>39</v>
      </c>
      <c r="F50">
        <v>361</v>
      </c>
      <c r="G50">
        <v>464</v>
      </c>
      <c r="H50">
        <v>554</v>
      </c>
      <c r="I50">
        <v>653</v>
      </c>
      <c r="J50">
        <v>686</v>
      </c>
    </row>
    <row r="51" spans="1:10" x14ac:dyDescent="0.2">
      <c r="A51" t="s">
        <v>40</v>
      </c>
      <c r="F51">
        <v>514</v>
      </c>
      <c r="G51">
        <v>553</v>
      </c>
      <c r="H51">
        <v>562</v>
      </c>
      <c r="I51">
        <v>551</v>
      </c>
      <c r="J51">
        <v>538</v>
      </c>
    </row>
    <row r="52" spans="1:10" x14ac:dyDescent="0.2">
      <c r="A52" t="s">
        <v>41</v>
      </c>
      <c r="F52">
        <v>708</v>
      </c>
      <c r="G52">
        <v>807</v>
      </c>
      <c r="H52">
        <v>942</v>
      </c>
      <c r="I52">
        <v>999</v>
      </c>
      <c r="J52">
        <v>1087</v>
      </c>
    </row>
    <row r="53" spans="1:10" x14ac:dyDescent="0.2">
      <c r="A53" t="s">
        <v>42</v>
      </c>
      <c r="B53" s="3">
        <v>1049</v>
      </c>
      <c r="C53" s="3">
        <v>1314</v>
      </c>
      <c r="D53" s="2">
        <v>1620</v>
      </c>
      <c r="E53" s="2">
        <v>1757</v>
      </c>
      <c r="F53">
        <v>1803</v>
      </c>
      <c r="G53" s="1">
        <v>2091</v>
      </c>
      <c r="H53" s="1">
        <v>2334</v>
      </c>
      <c r="I53" s="1">
        <v>2500</v>
      </c>
      <c r="J53" s="1">
        <v>2601</v>
      </c>
    </row>
    <row r="54" spans="1:10" x14ac:dyDescent="0.2">
      <c r="A54" t="s">
        <v>56</v>
      </c>
      <c r="B54">
        <f>B53/F53</f>
        <v>0.58180809761508601</v>
      </c>
    </row>
    <row r="56" spans="1:10" x14ac:dyDescent="0.2">
      <c r="A56" t="s">
        <v>43</v>
      </c>
      <c r="B56" s="2">
        <v>251</v>
      </c>
      <c r="C56" s="2">
        <v>300</v>
      </c>
      <c r="D56" s="2">
        <v>590</v>
      </c>
      <c r="E56" s="2">
        <v>480</v>
      </c>
      <c r="F56">
        <v>388</v>
      </c>
      <c r="G56">
        <v>349</v>
      </c>
      <c r="H56">
        <v>323</v>
      </c>
      <c r="I56">
        <v>285</v>
      </c>
      <c r="J56">
        <v>254</v>
      </c>
    </row>
    <row r="57" spans="1:10" x14ac:dyDescent="0.2">
      <c r="A57" t="s">
        <v>58</v>
      </c>
      <c r="B57" s="2">
        <v>81</v>
      </c>
      <c r="C57" s="2">
        <v>83</v>
      </c>
      <c r="D57" s="2">
        <v>91</v>
      </c>
      <c r="E57" s="2">
        <v>93</v>
      </c>
      <c r="F57">
        <v>100</v>
      </c>
      <c r="G57">
        <v>110</v>
      </c>
      <c r="H57">
        <v>155</v>
      </c>
      <c r="I57">
        <v>201</v>
      </c>
      <c r="J57">
        <v>232</v>
      </c>
    </row>
    <row r="58" spans="1:10" x14ac:dyDescent="0.2">
      <c r="A58" t="s">
        <v>60</v>
      </c>
      <c r="B58" s="2">
        <v>29</v>
      </c>
      <c r="C58" s="2">
        <v>30</v>
      </c>
      <c r="D58" s="2">
        <v>43</v>
      </c>
      <c r="E58" s="2">
        <v>48</v>
      </c>
      <c r="F58">
        <v>58</v>
      </c>
      <c r="G58">
        <v>87</v>
      </c>
      <c r="H58">
        <v>103</v>
      </c>
      <c r="I58">
        <v>131</v>
      </c>
      <c r="J58">
        <v>140</v>
      </c>
    </row>
    <row r="59" spans="1:10" x14ac:dyDescent="0.2">
      <c r="A59" t="s">
        <v>44</v>
      </c>
      <c r="B59" s="2">
        <v>50</v>
      </c>
      <c r="C59" s="2">
        <v>48</v>
      </c>
      <c r="D59" s="2">
        <v>45</v>
      </c>
      <c r="E59" s="2">
        <v>50</v>
      </c>
      <c r="F59">
        <v>59</v>
      </c>
      <c r="G59">
        <v>58</v>
      </c>
      <c r="H59">
        <v>57</v>
      </c>
      <c r="I59">
        <v>51</v>
      </c>
      <c r="J59">
        <v>43</v>
      </c>
    </row>
    <row r="60" spans="1:10" x14ac:dyDescent="0.2">
      <c r="A60" t="s">
        <v>59</v>
      </c>
      <c r="B60" s="2">
        <v>84</v>
      </c>
      <c r="C60" s="2">
        <v>105</v>
      </c>
      <c r="D60" s="2">
        <v>121</v>
      </c>
      <c r="E60" s="2">
        <v>115</v>
      </c>
      <c r="F60">
        <v>81</v>
      </c>
      <c r="G60">
        <v>106</v>
      </c>
      <c r="H60">
        <v>122</v>
      </c>
      <c r="I60">
        <v>123</v>
      </c>
      <c r="J60">
        <v>136</v>
      </c>
    </row>
    <row r="61" spans="1:10" x14ac:dyDescent="0.2">
      <c r="A61" t="s">
        <v>45</v>
      </c>
      <c r="D61" s="2">
        <v>2</v>
      </c>
      <c r="E61" s="2">
        <v>18</v>
      </c>
      <c r="F61">
        <v>24</v>
      </c>
      <c r="G61">
        <v>34</v>
      </c>
      <c r="H61">
        <v>48</v>
      </c>
      <c r="I61">
        <v>56</v>
      </c>
      <c r="J61">
        <v>61</v>
      </c>
    </row>
    <row r="62" spans="1:10" x14ac:dyDescent="0.2">
      <c r="A62" t="s">
        <v>46</v>
      </c>
      <c r="B62" s="2">
        <v>30</v>
      </c>
      <c r="C62" s="2">
        <v>24</v>
      </c>
      <c r="D62" s="2">
        <v>18</v>
      </c>
      <c r="E62" s="2">
        <v>17</v>
      </c>
      <c r="F62">
        <v>17</v>
      </c>
      <c r="G62">
        <v>18</v>
      </c>
      <c r="H62">
        <v>16</v>
      </c>
      <c r="I62">
        <v>14</v>
      </c>
      <c r="J62">
        <v>9</v>
      </c>
    </row>
    <row r="63" spans="1:10" x14ac:dyDescent="0.2">
      <c r="A63" t="s">
        <v>47</v>
      </c>
      <c r="B63" s="2">
        <v>525</v>
      </c>
      <c r="C63" s="2">
        <v>590</v>
      </c>
      <c r="D63" s="2">
        <v>910</v>
      </c>
      <c r="E63" s="2">
        <v>821</v>
      </c>
      <c r="F63">
        <v>727</v>
      </c>
      <c r="G63">
        <v>762</v>
      </c>
      <c r="H63">
        <v>824</v>
      </c>
      <c r="I63">
        <v>861</v>
      </c>
      <c r="J63">
        <v>875</v>
      </c>
    </row>
    <row r="64" spans="1:10" x14ac:dyDescent="0.2">
      <c r="A64" t="s">
        <v>48</v>
      </c>
      <c r="B64" s="2">
        <v>75</v>
      </c>
      <c r="C64" s="2">
        <v>100</v>
      </c>
      <c r="D64" s="2">
        <v>163</v>
      </c>
      <c r="E64" s="3">
        <v>179</v>
      </c>
      <c r="F64">
        <v>233</v>
      </c>
      <c r="G64">
        <v>293</v>
      </c>
      <c r="H64">
        <v>351</v>
      </c>
      <c r="I64">
        <v>401</v>
      </c>
      <c r="J64">
        <v>458</v>
      </c>
    </row>
    <row r="65" spans="1:10" x14ac:dyDescent="0.2">
      <c r="A65" t="s">
        <v>57</v>
      </c>
      <c r="B65" s="2">
        <v>600</v>
      </c>
      <c r="C65" s="2">
        <v>690</v>
      </c>
      <c r="D65" s="2">
        <v>1073</v>
      </c>
      <c r="E65" s="1">
        <v>1000</v>
      </c>
      <c r="F65">
        <v>960</v>
      </c>
      <c r="G65">
        <v>1055</v>
      </c>
      <c r="H65" s="1">
        <v>1175</v>
      </c>
      <c r="I65" s="1">
        <v>1262</v>
      </c>
      <c r="J65">
        <v>1333</v>
      </c>
    </row>
    <row r="67" spans="1:10" x14ac:dyDescent="0.2">
      <c r="A67" t="s">
        <v>49</v>
      </c>
      <c r="B67" s="3">
        <v>5016</v>
      </c>
      <c r="C67" s="3">
        <v>5628</v>
      </c>
      <c r="D67" s="3">
        <v>6257</v>
      </c>
      <c r="E67" s="1">
        <v>6776</v>
      </c>
      <c r="F67" s="1">
        <v>7704</v>
      </c>
      <c r="G67" s="1">
        <v>8693</v>
      </c>
      <c r="H67">
        <v>9714</v>
      </c>
      <c r="I67">
        <v>11137</v>
      </c>
      <c r="J67" s="1">
        <v>12332</v>
      </c>
    </row>
    <row r="68" spans="1:10" x14ac:dyDescent="0.2">
      <c r="A68" t="s">
        <v>52</v>
      </c>
      <c r="B68" s="2">
        <v>-26</v>
      </c>
      <c r="C68" s="2">
        <v>-28.7</v>
      </c>
      <c r="D68" s="2" t="s">
        <v>61</v>
      </c>
      <c r="E68">
        <v>-36.4</v>
      </c>
      <c r="F68" t="s">
        <v>63</v>
      </c>
      <c r="G68">
        <v>-44.1</v>
      </c>
      <c r="H68">
        <v>-47.8</v>
      </c>
      <c r="I68" t="s">
        <v>64</v>
      </c>
      <c r="J68" t="s">
        <v>65</v>
      </c>
    </row>
    <row r="69" spans="1:10" x14ac:dyDescent="0.2">
      <c r="A69" t="s">
        <v>51</v>
      </c>
      <c r="B69" s="3">
        <v>19270</v>
      </c>
      <c r="C69" s="3">
        <v>19550</v>
      </c>
      <c r="D69" s="2">
        <v>20100</v>
      </c>
      <c r="E69" s="3">
        <v>18600</v>
      </c>
      <c r="F69" s="1">
        <v>19355</v>
      </c>
      <c r="G69" s="1">
        <v>19709</v>
      </c>
      <c r="H69" s="1">
        <v>20308</v>
      </c>
      <c r="I69">
        <v>21461</v>
      </c>
      <c r="J69" s="1">
        <v>21635</v>
      </c>
    </row>
    <row r="70" spans="1:10" x14ac:dyDescent="0.2">
      <c r="F70">
        <f>F67/F69</f>
        <v>0.39803668302764145</v>
      </c>
    </row>
    <row r="71" spans="1:10" x14ac:dyDescent="0.2">
      <c r="B71">
        <f t="shared" ref="B71:I71" si="1">B64/C64</f>
        <v>0.75</v>
      </c>
      <c r="C71">
        <f t="shared" si="1"/>
        <v>0.61349693251533743</v>
      </c>
      <c r="D71">
        <f t="shared" si="1"/>
        <v>0.91061452513966479</v>
      </c>
      <c r="E71">
        <f t="shared" si="1"/>
        <v>0.76824034334763946</v>
      </c>
      <c r="F71">
        <f t="shared" si="1"/>
        <v>0.79522184300341292</v>
      </c>
      <c r="G71">
        <f t="shared" si="1"/>
        <v>0.83475783475783472</v>
      </c>
      <c r="H71">
        <f t="shared" si="1"/>
        <v>0.87531172069825436</v>
      </c>
      <c r="I71">
        <f t="shared" si="1"/>
        <v>0.87554585152838427</v>
      </c>
    </row>
    <row r="72" spans="1:10" x14ac:dyDescent="0.2">
      <c r="I72">
        <f>E71*F71*G71*H71*I71</f>
        <v>0.39082969432314413</v>
      </c>
    </row>
    <row r="73" spans="1:10" x14ac:dyDescent="0.2">
      <c r="I73">
        <f>I72*D71</f>
        <v>0.35589519650655022</v>
      </c>
    </row>
    <row r="74" spans="1:10" x14ac:dyDescent="0.2">
      <c r="I74" s="4">
        <f>I73*C71*B71</f>
        <v>0.16375545851528384</v>
      </c>
    </row>
    <row r="177" spans="1:1" x14ac:dyDescent="0.2">
      <c r="A177" s="1"/>
    </row>
    <row r="203" spans="1:1" x14ac:dyDescent="0.2">
      <c r="A203" s="1"/>
    </row>
    <row r="204" spans="1:1" x14ac:dyDescent="0.2">
      <c r="A204" s="1"/>
    </row>
    <row r="230" spans="1:1" x14ac:dyDescent="0.2">
      <c r="A230" s="1"/>
    </row>
    <row r="258" spans="1:1" x14ac:dyDescent="0.2">
      <c r="A258" s="1"/>
    </row>
    <row r="259" spans="1:1" x14ac:dyDescent="0.2">
      <c r="A259" s="1"/>
    </row>
    <row r="277" spans="1:1" x14ac:dyDescent="0.2">
      <c r="A277" s="1"/>
    </row>
    <row r="285" spans="1:1" x14ac:dyDescent="0.2">
      <c r="A285" s="1"/>
    </row>
    <row r="286" spans="1:1" x14ac:dyDescent="0.2">
      <c r="A286" s="1"/>
    </row>
    <row r="305" spans="1:1" x14ac:dyDescent="0.2">
      <c r="A305" s="1"/>
    </row>
    <row r="313" spans="1:1" x14ac:dyDescent="0.2">
      <c r="A313" s="1"/>
    </row>
    <row r="314" spans="1:1" x14ac:dyDescent="0.2">
      <c r="A314" s="1"/>
    </row>
    <row r="315" spans="1:1" x14ac:dyDescent="0.2">
      <c r="A315" t="s">
        <v>25</v>
      </c>
    </row>
    <row r="316" spans="1:1" x14ac:dyDescent="0.2">
      <c r="A316" t="s">
        <v>26</v>
      </c>
    </row>
  </sheetData>
  <phoneticPr fontId="0" type="noConversion"/>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05"/>
  <sheetViews>
    <sheetView workbookViewId="0">
      <pane xSplit="1" ySplit="3" topLeftCell="B4" activePane="bottomRight" state="frozen"/>
      <selection pane="topRight" activeCell="B1" sqref="B1"/>
      <selection pane="bottomLeft" activeCell="A4" sqref="A4"/>
      <selection pane="bottomRight" activeCell="O7" sqref="O7:O23"/>
    </sheetView>
  </sheetViews>
  <sheetFormatPr baseColWidth="10" defaultColWidth="11.42578125" defaultRowHeight="11.25" x14ac:dyDescent="0.2"/>
  <cols>
    <col min="1" max="1" width="34.28515625" style="4" customWidth="1"/>
    <col min="2" max="13" width="8.7109375" style="4" customWidth="1"/>
    <col min="14" max="16384" width="11.42578125" style="4"/>
  </cols>
  <sheetData>
    <row r="1" spans="1:13" x14ac:dyDescent="0.2">
      <c r="A1" s="4" t="s">
        <v>0</v>
      </c>
      <c r="F1" s="4">
        <v>-2.0413008599007298E-6</v>
      </c>
      <c r="G1" s="4">
        <v>1.0521384297135228E-7</v>
      </c>
      <c r="H1" s="4">
        <v>-0.46311918385612216</v>
      </c>
      <c r="I1" s="4">
        <v>-1.9790257965723868E-7</v>
      </c>
      <c r="J1" s="4">
        <v>1.6885669812713218</v>
      </c>
    </row>
    <row r="2" spans="1:13" x14ac:dyDescent="0.2">
      <c r="A2" s="4" t="s">
        <v>1</v>
      </c>
      <c r="F2" s="4">
        <f>F9+F10+F11-'[1]49-2011 (2)'!$H$13/1000</f>
        <v>2.207701506724618</v>
      </c>
      <c r="G2" s="4">
        <f>G9+G10+G11-'[1]49-2011 (2)'!$P$13/1000</f>
        <v>4.3431338214230095</v>
      </c>
      <c r="H2" s="4">
        <f>H9+H10+H11-'[1]49-2011 (2)'!$V$13/1000</f>
        <v>7.0389565142505148</v>
      </c>
      <c r="I2" s="4">
        <f>I9+I10+I11-'[1]49-2011 (2)'!$AB$13/1000</f>
        <v>10.250454200057391</v>
      </c>
      <c r="J2" s="4">
        <f>J9+J10+J11-'[1]49-2011 (2)'!$AH$13/1000</f>
        <v>13.654129147008234</v>
      </c>
      <c r="K2" s="4">
        <f>K9+K10+K11-'[1]49-2011 (2)'!$AR$13/1000</f>
        <v>70.81554200000005</v>
      </c>
    </row>
    <row r="3" spans="1:13" x14ac:dyDescent="0.2">
      <c r="A3" s="4" t="s">
        <v>2</v>
      </c>
      <c r="B3" s="4">
        <v>1896</v>
      </c>
      <c r="C3" s="4">
        <v>1906</v>
      </c>
      <c r="D3" s="4">
        <v>1926</v>
      </c>
      <c r="E3" s="4">
        <v>1936</v>
      </c>
      <c r="F3" s="4">
        <v>1954</v>
      </c>
      <c r="G3" s="4">
        <v>1962</v>
      </c>
      <c r="H3" s="4">
        <v>1968</v>
      </c>
      <c r="I3" s="4">
        <v>1974</v>
      </c>
      <c r="J3" s="4">
        <v>1980</v>
      </c>
      <c r="K3" s="4">
        <v>1990</v>
      </c>
      <c r="L3" s="4">
        <v>2000</v>
      </c>
      <c r="M3" s="4">
        <v>2011</v>
      </c>
    </row>
    <row r="4" spans="1:13" x14ac:dyDescent="0.2">
      <c r="A4" s="4" t="s">
        <v>3</v>
      </c>
    </row>
    <row r="5" spans="1:13" x14ac:dyDescent="0.2">
      <c r="A5" s="4" t="s">
        <v>4</v>
      </c>
    </row>
    <row r="7" spans="1:13" ht="12.75" x14ac:dyDescent="0.2">
      <c r="A7" t="s">
        <v>80</v>
      </c>
      <c r="B7" s="4">
        <f>C7*'tertiaire ancienne série'!B8/'tertiaire ancienne série'!C8</f>
        <v>32.330991071428571</v>
      </c>
      <c r="C7" s="4">
        <f>D7*'tertiaire ancienne série'!C8/'tertiaire ancienne série'!D8</f>
        <v>32.330991071428571</v>
      </c>
      <c r="D7" s="4">
        <f>E7*'tertiaire ancienne série'!D8/'tertiaire ancienne série'!E8</f>
        <v>90.526775000000001</v>
      </c>
      <c r="E7" s="4">
        <f>F7</f>
        <v>90.526775000000001</v>
      </c>
      <c r="F7" s="4">
        <f>'[1]49-2011 (2)'!$H$12/1000</f>
        <v>90.526775000000001</v>
      </c>
      <c r="G7" s="4">
        <f>'[1]49-2011 (2)'!$P$12/1000</f>
        <v>107.238</v>
      </c>
      <c r="H7" s="4">
        <f>'[1]49-2011 (2)'!$V$12/1000</f>
        <v>150.91540799999999</v>
      </c>
      <c r="I7" s="4">
        <f>'[1]49-2011 (2)'!$AB$12/1000</f>
        <v>203.35910699999999</v>
      </c>
      <c r="J7" s="4">
        <f>'[1]49-2011 (2)'!$AH$12/1000</f>
        <v>248.46679800000001</v>
      </c>
    </row>
    <row r="8" spans="1:13" x14ac:dyDescent="0.2">
      <c r="A8" s="4" t="s">
        <v>84</v>
      </c>
    </row>
    <row r="9" spans="1:13" ht="12.75" x14ac:dyDescent="0.2">
      <c r="A9" t="s">
        <v>79</v>
      </c>
      <c r="B9" s="4">
        <f>C9*('tertiaire ancienne série'!B6+'tertiaire ancienne série'!B7)/('tertiaire ancienne série'!C6+'tertiaire ancienne série'!C7)</f>
        <v>15.424288382846946</v>
      </c>
      <c r="C9" s="4">
        <f>D9*('tertiaire ancienne série'!C6+'tertiaire ancienne série'!C7)/('tertiaire ancienne série'!D6+'tertiaire ancienne série'!D7)</f>
        <v>21.77546595225451</v>
      </c>
      <c r="D9" s="4">
        <f>E9*('tertiaire ancienne série'!D6+'tertiaire ancienne série'!D7)/('tertiaire ancienne série'!E6+'tertiaire ancienne série'!E7)</f>
        <v>33.570510009725702</v>
      </c>
      <c r="E9" s="4">
        <f>F9*('tertiaire ancienne série'!E6+'tertiaire ancienne série'!E7)/('tertiaire ancienne série'!F6+'tertiaire ancienne série'!F7)</f>
        <v>34.477821091069636</v>
      </c>
      <c r="F9" s="9">
        <f>G9*('tertiaire ancienne série'!F6+'tertiaire ancienne série'!F7)/('tertiaire ancienne série'!G6+'tertiaire ancienne série'!G7)-4.2597911+16.76697-F1</f>
        <v>53.531353799292326</v>
      </c>
      <c r="G9" s="9">
        <f>H9*('tertiaire ancienne série'!G6+'tertiaire ancienne série'!G7)/('tertiaire ancienne série'!H6+'tertiaire ancienne série'!H7)-5+6.018919-G1-0.2834869+9.221696</f>
        <v>70.227821333171832</v>
      </c>
      <c r="H9" s="9">
        <f>I9*('tertiaire ancienne série'!H6+'tertiaire ancienne série'!H7)/('tertiaire ancienne série'!I6+'tertiaire ancienne série'!I7)-5-H1+11.2667+1.868625-14.7065</f>
        <v>98.462023770630068</v>
      </c>
      <c r="I9" s="9">
        <f>J9*('tertiaire ancienne série'!I6+'tertiaire ancienne série'!I7)/('tertiaire ancienne série'!J6+'tertiaire ancienne série'!J7)-30-I1-15.090546</f>
        <v>140.06053084046695</v>
      </c>
      <c r="J9" s="9">
        <f>'tertiaire ancienne série'!J6+'tertiaire ancienne série'!J7-40-J1</f>
        <v>215.31143301872868</v>
      </c>
      <c r="K9" s="4">
        <f>'[1]90-2011 88'!$C$67/1000</f>
        <v>109.61799499999999</v>
      </c>
    </row>
    <row r="10" spans="1:13" ht="12.75" x14ac:dyDescent="0.2">
      <c r="A10" t="s">
        <v>83</v>
      </c>
      <c r="B10" s="4">
        <f>C10*'tertiaire ancienne série'!B19/'tertiaire ancienne série'!C19</f>
        <v>13.051658174287367</v>
      </c>
      <c r="C10" s="4">
        <f>D10*'tertiaire ancienne série'!C19/'tertiaire ancienne série'!D19</f>
        <v>15.746194055430566</v>
      </c>
      <c r="D10" s="4">
        <f>E10*'tertiaire ancienne série'!D19/'tertiaire ancienne série'!E19</f>
        <v>22.145716773145661</v>
      </c>
      <c r="E10" s="4">
        <f>F10*'tertiaire ancienne série'!E19/'tertiaire ancienne série'!F19</f>
        <v>23.745597452574437</v>
      </c>
      <c r="F10" s="4">
        <f>G10*'[1]49-2011 (2)'!$H$13/'[1]49-2011 (2)'!$P$13</f>
        <v>29.303077707432287</v>
      </c>
      <c r="G10" s="4">
        <f>H10*'[1]49-2011 (2)'!$P$13/'[1]49-2011 (2)'!$V$13</f>
        <v>34.082504488251189</v>
      </c>
      <c r="H10" s="4">
        <f>I10*'[1]49-2011 (2)'!$V$13/'[1]49-2011 (2)'!$AB$13</f>
        <v>46.483526743620459</v>
      </c>
      <c r="I10" s="4">
        <f>J10*'[1]49-2011 (2)'!$AB$13/'[1]49-2011 (2)'!$AH$13</f>
        <v>60.219309161687832</v>
      </c>
      <c r="J10" s="9">
        <f>K10*'[1]49-2011 (2)'!$AH$13/'[1]49-2011 (2)'!$AR$13-30</f>
        <v>74.284752128279536</v>
      </c>
      <c r="K10" s="4">
        <f>'[1]90-2011 88'!$C$66/1000</f>
        <v>159.76469800000001</v>
      </c>
    </row>
    <row r="11" spans="1:13" x14ac:dyDescent="0.2">
      <c r="A11" s="4" t="s">
        <v>78</v>
      </c>
      <c r="B11" s="4">
        <f>'tertiaire ancienne série'!B9+'tertiaire ancienne série'!B10</f>
        <v>36</v>
      </c>
      <c r="C11" s="4">
        <f>'tertiaire ancienne série'!C9+'tertiaire ancienne série'!C10</f>
        <v>42</v>
      </c>
      <c r="D11" s="4">
        <f>'tertiaire ancienne série'!D9+'tertiaire ancienne série'!D10</f>
        <v>56</v>
      </c>
      <c r="E11" s="4">
        <f>'tertiaire ancienne série'!E9+'tertiaire ancienne série'!E10</f>
        <v>80</v>
      </c>
      <c r="F11" s="4">
        <f>'tertiaire ancienne série'!F9+'tertiaire ancienne série'!F10</f>
        <v>87</v>
      </c>
      <c r="G11" s="4">
        <f>'tertiaire ancienne série'!G9+'tertiaire ancienne série'!G10</f>
        <v>95</v>
      </c>
      <c r="H11" s="4">
        <f>'tertiaire ancienne série'!H9+'tertiaire ancienne série'!H10</f>
        <v>128</v>
      </c>
      <c r="I11" s="9">
        <f>'tertiaire ancienne série'!I9+'tertiaire ancienne série'!I10-I1+1.452036</f>
        <v>154.45203619790257</v>
      </c>
      <c r="J11" s="4">
        <f>'tertiaire ancienne série'!J9+'tertiaire ancienne série'!J10-30</f>
        <v>149</v>
      </c>
      <c r="K11" s="4">
        <f>'[1]90-2011 88'!$C$65/1000</f>
        <v>452.445944</v>
      </c>
    </row>
    <row r="12" spans="1:13" x14ac:dyDescent="0.2">
      <c r="A12" s="4" t="s">
        <v>85</v>
      </c>
      <c r="B12" s="4">
        <f>B9/C9*C12</f>
        <v>48.299227288135619</v>
      </c>
      <c r="C12" s="4">
        <f>C9/D9*D12</f>
        <v>68.187144406779694</v>
      </c>
      <c r="D12" s="4">
        <f>D9/E9*E12</f>
        <v>105.12184762711868</v>
      </c>
      <c r="E12" s="4">
        <f>E9/F9*F12</f>
        <v>107.96297864406782</v>
      </c>
      <c r="F12" s="4">
        <f>'[1]49-2011'!$H$34/1000</f>
        <v>167.62673000000001</v>
      </c>
      <c r="G12" s="4">
        <f>'[1]49-2011'!$P$34/1000</f>
        <v>194.96719200000001</v>
      </c>
      <c r="H12" s="4">
        <f>'[1]49-2011'!$V$34/1000</f>
        <v>265.90659399999998</v>
      </c>
      <c r="I12" s="4">
        <f>'[1]49-2011'!$AB$34/1000</f>
        <v>344.48142200000001</v>
      </c>
      <c r="J12" s="4">
        <f>'[1]49-2011'!$AH$34/1000</f>
        <v>424.94205599999998</v>
      </c>
      <c r="K12" s="4">
        <f>'[1]49-2011'!$AH$34/1000</f>
        <v>424.94205599999998</v>
      </c>
    </row>
    <row r="13" spans="1:13" x14ac:dyDescent="0.2">
      <c r="A13" s="4" t="s">
        <v>81</v>
      </c>
      <c r="B13" s="4">
        <f>C13*B9/C9</f>
        <v>42.933224254237295</v>
      </c>
      <c r="C13" s="4">
        <f>D13*C9/D9</f>
        <v>60.611610711864415</v>
      </c>
      <c r="D13" s="4">
        <f>E13*D9/E9</f>
        <v>93.442899847457639</v>
      </c>
      <c r="E13" s="4">
        <f>F13*E9/F9</f>
        <v>95.968383627118655</v>
      </c>
      <c r="F13" s="4">
        <f>'[1]49-2011 (2)'!$H$14/1000</f>
        <v>149.00354300000001</v>
      </c>
      <c r="G13" s="4">
        <f>'[1]49-2011 (2)'!$P$14/1000</f>
        <v>167.09562299999999</v>
      </c>
      <c r="H13" s="4">
        <f>'[1]49-2011 (2)'!$V$14/1000</f>
        <v>182.19765200000001</v>
      </c>
      <c r="I13" s="4">
        <f>'[1]49-2011 (2)'!$AB$14/1000</f>
        <v>214.61189000000002</v>
      </c>
      <c r="J13" s="4">
        <f>'[1]49-2011 (2)'!$AH$14/1000</f>
        <v>264.54257299999995</v>
      </c>
      <c r="K13" s="4">
        <f>'[1]49-2011 (2)'!$AR$14/1000</f>
        <v>354.35597799999999</v>
      </c>
    </row>
    <row r="14" spans="1:13" ht="12.75" x14ac:dyDescent="0.2">
      <c r="A14" t="s">
        <v>82</v>
      </c>
      <c r="B14" s="4">
        <f>C14*'tertiaire ancienne série'!B19/'tertiaire ancienne série'!C19</f>
        <v>140.84684087643677</v>
      </c>
      <c r="C14" s="4">
        <f>D14*'tertiaire ancienne série'!C19/'tertiaire ancienne série'!D19</f>
        <v>169.92489834770114</v>
      </c>
      <c r="D14" s="4">
        <f>E14*'tertiaire ancienne série'!D19/'tertiaire ancienne série'!E19</f>
        <v>238.98528484195401</v>
      </c>
      <c r="E14" s="4">
        <f>F14*'tertiaire ancienne série'!E19/'tertiaire ancienne série'!F19</f>
        <v>256.25038146551725</v>
      </c>
      <c r="F14" s="4">
        <f>'[1]49-2011 (2)'!$H$16/1000</f>
        <v>316.22387500000002</v>
      </c>
      <c r="G14" s="4">
        <f>'[1]49-2011 (2)'!$P$16/1000</f>
        <v>370.97709600000002</v>
      </c>
      <c r="H14" s="4">
        <f>'[1]49-2011 (2)'!$V$16/1000</f>
        <v>478.56897600000002</v>
      </c>
      <c r="I14" s="4">
        <f>'[1]49-2011 (2)'!$AB$16/1000</f>
        <v>613.97867500000007</v>
      </c>
      <c r="J14" s="4">
        <f>'[1]49-2011 (2)'!$AH$16/1000</f>
        <v>766.60226699999998</v>
      </c>
    </row>
    <row r="15" spans="1:13" x14ac:dyDescent="0.2">
      <c r="A15" s="4" t="s">
        <v>15</v>
      </c>
      <c r="B15" s="4">
        <f t="shared" ref="B15:J15" si="0">SUM(B9:B14)</f>
        <v>296.55523897594401</v>
      </c>
      <c r="C15" s="4">
        <f t="shared" si="0"/>
        <v>378.24531347403035</v>
      </c>
      <c r="D15" s="4">
        <f t="shared" si="0"/>
        <v>549.26625909940162</v>
      </c>
      <c r="E15" s="4">
        <f t="shared" si="0"/>
        <v>598.40516228034778</v>
      </c>
      <c r="F15" s="4">
        <f t="shared" si="0"/>
        <v>802.68857950672464</v>
      </c>
      <c r="G15" s="4">
        <f t="shared" si="0"/>
        <v>932.3502368214231</v>
      </c>
      <c r="H15" s="4">
        <f t="shared" si="0"/>
        <v>1199.6187725142506</v>
      </c>
      <c r="I15" s="4">
        <f t="shared" si="0"/>
        <v>1527.8038632000575</v>
      </c>
      <c r="J15" s="4">
        <f t="shared" si="0"/>
        <v>1894.6830811470081</v>
      </c>
    </row>
    <row r="16" spans="1:13" x14ac:dyDescent="0.2">
      <c r="A16" s="4" t="s">
        <v>16</v>
      </c>
      <c r="B16" s="4">
        <f>C16*'tertiaire ancienne série'!B20/'tertiaire ancienne série'!C20</f>
        <v>449.3207939481037</v>
      </c>
      <c r="C16" s="4">
        <f>D16*'tertiaire ancienne série'!C20/'tertiaire ancienne série'!D20</f>
        <v>543.86114199600786</v>
      </c>
      <c r="D16" s="4">
        <f>E16*'tertiaire ancienne série'!D20/'tertiaire ancienne série'!E20</f>
        <v>507.26487823552884</v>
      </c>
      <c r="E16" s="4">
        <f>F16*'tertiaire ancienne série'!E20/'tertiaire ancienne série'!F20</f>
        <v>558.09302234730535</v>
      </c>
      <c r="F16" s="4">
        <f>'[1]49-2011 (2)'!$H$7/1000</f>
        <v>509.29800399999999</v>
      </c>
      <c r="G16" s="4">
        <f>'[1]49-2011 (2)'!$P$7/1000</f>
        <v>542.42024600000002</v>
      </c>
      <c r="H16" s="4">
        <f>'[1]49-2011 (2)'!$V$7/1000</f>
        <v>561.495901</v>
      </c>
      <c r="I16" s="4">
        <f>'[1]49-2011 (2)'!$AB$7/1000</f>
        <v>606.61013500000001</v>
      </c>
      <c r="J16" s="4">
        <f>'[1]49-2011 (2)'!$AH$7/1000</f>
        <v>602.70773299999996</v>
      </c>
    </row>
    <row r="17" spans="1:10" x14ac:dyDescent="0.2">
      <c r="A17" s="4" t="s">
        <v>3</v>
      </c>
    </row>
    <row r="18" spans="1:10" x14ac:dyDescent="0.2">
      <c r="A18" s="4" t="s">
        <v>18</v>
      </c>
    </row>
    <row r="19" spans="1:10" x14ac:dyDescent="0.2">
      <c r="A19" s="4" t="s">
        <v>19</v>
      </c>
      <c r="B19" s="4">
        <f>C19*'tertiaire ancienne série'!B24/'tertiaire ancienne série'!C24</f>
        <v>168.74315772443185</v>
      </c>
      <c r="C19" s="4">
        <f>D19*'tertiaire ancienne série'!C24/'tertiaire ancienne série'!D24</f>
        <v>249.98986329545457</v>
      </c>
      <c r="D19" s="4">
        <f>E19*'tertiaire ancienne série'!D24/'tertiaire ancienne série'!E24</f>
        <v>364.5685506392046</v>
      </c>
      <c r="E19" s="4">
        <f>F19*'tertiaire ancienne série'!E24/'tertiaire ancienne série'!F24</f>
        <v>472.89749140056824</v>
      </c>
      <c r="F19" s="4">
        <f>'[1]49-2011 (2)'!$H$19/1000</f>
        <v>733.30359900000008</v>
      </c>
      <c r="G19" s="4">
        <f>'[1]49-2011 (2)'!$P$19/1000</f>
        <v>830.55777999999998</v>
      </c>
      <c r="H19" s="4">
        <f>'[1]49-2011 (2)'!$V$19/1000</f>
        <v>934.37284399999999</v>
      </c>
      <c r="I19" s="4">
        <f>'[1]49-2011 (2)'!$AB$19/1000</f>
        <v>1076.1199779999999</v>
      </c>
      <c r="J19" s="5">
        <f>'[1]49-2011 (2)'!$AH$19/1000</f>
        <v>1241.4690949999999</v>
      </c>
    </row>
    <row r="20" spans="1:10" x14ac:dyDescent="0.2">
      <c r="A20" s="4" t="s">
        <v>21</v>
      </c>
      <c r="B20" s="4">
        <f>C20*'tertiaire ancienne série'!B26/'tertiaire ancienne série'!C26</f>
        <v>141.8348661</v>
      </c>
      <c r="C20" s="4">
        <f>D20*'tertiaire ancienne série'!C26/'tertiaire ancienne série'!D26</f>
        <v>212.75229915</v>
      </c>
      <c r="D20" s="4">
        <f>E20*'tertiaire ancienne série'!D26/'tertiaire ancienne série'!E26</f>
        <v>307.30887654999998</v>
      </c>
      <c r="E20" s="4">
        <f>F20*'tertiaire ancienne série'!E26/'tertiaire ancienne série'!F26</f>
        <v>378.22630959999998</v>
      </c>
      <c r="F20" s="4">
        <f>'[1]49-2011 (2)'!$H$20/1000</f>
        <v>472.78288699999996</v>
      </c>
      <c r="G20" s="4">
        <f>'[1]49-2011 (2)'!$P$20/1000</f>
        <v>556.15703000000008</v>
      </c>
      <c r="H20" s="4">
        <f>'[1]49-2011 (2)'!$V$20/1000</f>
        <v>608.46192000000008</v>
      </c>
      <c r="I20" s="4">
        <f>'[1]49-2011 (2)'!$AB$20/1000</f>
        <v>679.66355199999998</v>
      </c>
      <c r="J20" s="4">
        <f>'[1]49-2011 (2)'!$AH$20/1000</f>
        <v>746.81193200000007</v>
      </c>
    </row>
    <row r="21" spans="1:10" ht="12.75" x14ac:dyDescent="0.2">
      <c r="A21" t="s">
        <v>77</v>
      </c>
      <c r="B21" s="9">
        <f>C21*'tertiaire ancienne série'!B35/'tertiaire ancienne série'!C35-50</f>
        <v>511.41376049365647</v>
      </c>
      <c r="C21" s="9">
        <f>D21*'tertiaire ancienne série'!C35/'tertiaire ancienne série'!D35-50</f>
        <v>613.7944702047871</v>
      </c>
      <c r="D21" s="4">
        <f>E21*'tertiaire ancienne série'!D35/'tertiaire ancienne série'!E35</f>
        <v>514.18652615425526</v>
      </c>
      <c r="E21" s="4">
        <f>F21*'tertiaire ancienne série'!E35/'tertiaire ancienne série'!F35</f>
        <v>586.81174171276587</v>
      </c>
      <c r="F21" s="4">
        <f>'[1]49-2011 (2)'!$H$22/1000</f>
        <v>546.14162099999999</v>
      </c>
      <c r="G21" s="4">
        <f>'[1]49-2011 (2)'!$P$22/1000</f>
        <v>521.88239499999997</v>
      </c>
      <c r="H21" s="4">
        <f>'[1]49-2011 (2)'!$V$22/1000</f>
        <v>507.95197999999999</v>
      </c>
      <c r="I21" s="4">
        <f>'[1]49-2011 (2)'!$AB$22/1000</f>
        <v>487.46685600000001</v>
      </c>
      <c r="J21" s="4">
        <f>'[1]49-2011 (2)'!$AH$22/1000</f>
        <v>482.97044300000005</v>
      </c>
    </row>
    <row r="22" spans="1:10" ht="12.75" x14ac:dyDescent="0.2">
      <c r="A22" t="s">
        <v>86</v>
      </c>
      <c r="B22" s="13">
        <f>C22*B21/C21</f>
        <v>117.23213688908876</v>
      </c>
      <c r="C22" s="13">
        <f>D22*C21/D21</f>
        <v>140.70101923607871</v>
      </c>
      <c r="D22" s="13">
        <f>E22*D21/E21</f>
        <v>117.86774208510637</v>
      </c>
      <c r="E22" s="13">
        <f>F22*E21/F21</f>
        <v>134.51572825531912</v>
      </c>
      <c r="F22" s="4">
        <f>'[1]49-2011 (2)'!$H$21/1000</f>
        <v>125.19285600000001</v>
      </c>
      <c r="G22" s="4">
        <f>'[1]49-2011 (2)'!$P$21/1000</f>
        <v>143.62457599999999</v>
      </c>
      <c r="H22" s="4">
        <f>'[1]49-2011 (2)'!$V$21/1000</f>
        <v>160.03877</v>
      </c>
      <c r="I22" s="4">
        <f>'[1]49-2011 (2)'!$AB$21/1000</f>
        <v>199.63588200000001</v>
      </c>
      <c r="J22" s="4">
        <f>'[1]49-2011 (2)'!$AH$21/1000</f>
        <v>229.43494699999999</v>
      </c>
    </row>
    <row r="23" spans="1:10" x14ac:dyDescent="0.2">
      <c r="A23" s="4" t="s">
        <v>15</v>
      </c>
      <c r="B23" s="4">
        <f t="shared" ref="B23:J23" si="1">B19+B20+B21+B22</f>
        <v>939.22392120717711</v>
      </c>
      <c r="C23" s="4">
        <f t="shared" si="1"/>
        <v>1217.2376518863205</v>
      </c>
      <c r="D23" s="4">
        <f t="shared" si="1"/>
        <v>1303.9316954285662</v>
      </c>
      <c r="E23" s="4">
        <f t="shared" si="1"/>
        <v>1572.4512709686533</v>
      </c>
      <c r="F23" s="4">
        <f t="shared" si="1"/>
        <v>1877.420963</v>
      </c>
      <c r="G23" s="4">
        <f t="shared" si="1"/>
        <v>2052.2217810000002</v>
      </c>
      <c r="H23" s="4">
        <f t="shared" si="1"/>
        <v>2210.8255140000001</v>
      </c>
      <c r="I23" s="4">
        <f t="shared" si="1"/>
        <v>2442.8862679999997</v>
      </c>
      <c r="J23" s="4">
        <f t="shared" si="1"/>
        <v>2700.6864170000003</v>
      </c>
    </row>
    <row r="24" spans="1:10" x14ac:dyDescent="0.2">
      <c r="A24" s="4" t="s">
        <v>62</v>
      </c>
      <c r="B24" s="4">
        <f t="shared" ref="B24:J24" si="2">B7+B15+B23+B16</f>
        <v>1717.4309452026534</v>
      </c>
      <c r="C24" s="4">
        <f t="shared" si="2"/>
        <v>2171.6750984277874</v>
      </c>
      <c r="D24" s="4">
        <f t="shared" si="2"/>
        <v>2450.9896077634967</v>
      </c>
      <c r="E24" s="4">
        <f t="shared" si="2"/>
        <v>2819.4762305963068</v>
      </c>
      <c r="F24" s="4">
        <f t="shared" si="2"/>
        <v>3279.9343215067247</v>
      </c>
      <c r="G24" s="4">
        <f t="shared" si="2"/>
        <v>3634.2302638214237</v>
      </c>
      <c r="H24" s="4">
        <f t="shared" si="2"/>
        <v>4122.855595514251</v>
      </c>
      <c r="I24" s="4">
        <f t="shared" si="2"/>
        <v>4780.6593732000574</v>
      </c>
      <c r="J24" s="4">
        <f t="shared" si="2"/>
        <v>5446.5440291470086</v>
      </c>
    </row>
    <row r="27" spans="1:10" x14ac:dyDescent="0.2">
      <c r="A27" s="4" t="s">
        <v>1</v>
      </c>
    </row>
    <row r="28" spans="1:10" x14ac:dyDescent="0.2">
      <c r="B28" s="4">
        <v>1896</v>
      </c>
      <c r="C28" s="4">
        <v>1906</v>
      </c>
      <c r="D28" s="4">
        <v>1926</v>
      </c>
      <c r="E28" s="4">
        <v>1936</v>
      </c>
      <c r="F28" s="4">
        <v>1954</v>
      </c>
      <c r="G28" s="4">
        <v>1962</v>
      </c>
      <c r="H28" s="4">
        <v>1968</v>
      </c>
      <c r="I28" s="4">
        <v>1974</v>
      </c>
      <c r="J28" s="4">
        <v>1980</v>
      </c>
    </row>
    <row r="29" spans="1:10" x14ac:dyDescent="0.2">
      <c r="A29" s="4" t="s">
        <v>75</v>
      </c>
    </row>
    <row r="30" spans="1:10" x14ac:dyDescent="0.2">
      <c r="A30" s="4" t="s">
        <v>74</v>
      </c>
      <c r="B30" s="9">
        <f>C30*'tertiaire ancienne série'!B39/'tertiaire ancienne série'!C39+100</f>
        <v>323.13289635514997</v>
      </c>
      <c r="C30" s="9">
        <f>D30*'tertiaire ancienne série'!C39/'tertiaire ancienne série'!D39+50</f>
        <v>223.13289635514997</v>
      </c>
      <c r="D30" s="9">
        <f>E30*'tertiaire ancienne série'!D39/'tertiaire ancienne série'!E39+20</f>
        <v>142.45111725423732</v>
      </c>
      <c r="E30" s="4">
        <f>F30*'tertiaire ancienne série'!E39/'tertiaire ancienne série'!F39</f>
        <v>119.15435640508476</v>
      </c>
      <c r="F30" s="4">
        <f>'[1]49-2011 (2)'!$H$23/1000</f>
        <v>92.623281000000006</v>
      </c>
      <c r="G30" s="4">
        <f>'[1]49-2011 (2)'!$P$23/1000</f>
        <v>85.144770999999992</v>
      </c>
      <c r="H30" s="4">
        <f>'[1]49-2011 (2)'!$V$23/1000</f>
        <v>80.408426000000006</v>
      </c>
      <c r="I30" s="4">
        <f>'[1]49-2011 (2)'!$AB$23/1000</f>
        <v>68.959032000000008</v>
      </c>
      <c r="J30" s="4">
        <f>'[1]49-2011 (2)'!$AH$23/1000</f>
        <v>53.002969999999998</v>
      </c>
    </row>
    <row r="31" spans="1:10" x14ac:dyDescent="0.2">
      <c r="A31" s="4" t="s">
        <v>32</v>
      </c>
      <c r="B31" s="5">
        <f>C31*'tertiaire ancienne série'!B40/'tertiaire ancienne série'!C40</f>
        <v>1403.0711070528625</v>
      </c>
      <c r="C31" s="14">
        <f>D31*'tertiaire ancienne série'!C40/'tertiaire ancienne série'!D40</f>
        <v>1456.6654000744704</v>
      </c>
      <c r="D31" s="9">
        <f>E31*'tertiaire ancienne série'!D40/'tertiaire ancienne série'!E40+150</f>
        <v>1335.7346876154577</v>
      </c>
      <c r="E31" s="11">
        <f>'tertiaire ancienne série'!E40/'tertiaire ancienne série'!F40*'calcul intermédiaire1'!F31+200</f>
        <v>1451.6710681711879</v>
      </c>
      <c r="F31" s="5">
        <f>F33+F34</f>
        <v>2248.8006249999999</v>
      </c>
      <c r="G31" s="5">
        <f>G33+G34</f>
        <v>2473.8239720000001</v>
      </c>
      <c r="H31" s="5">
        <f>H33+H34</f>
        <v>2535.7553539999999</v>
      </c>
      <c r="I31" s="5">
        <f>I33+I34</f>
        <v>2887.4748730000001</v>
      </c>
      <c r="J31" s="5">
        <f>J33+J34</f>
        <v>3301.4014310000002</v>
      </c>
    </row>
    <row r="32" spans="1:10" x14ac:dyDescent="0.2">
      <c r="A32" s="4" t="s">
        <v>33</v>
      </c>
      <c r="F32" s="4">
        <f>B31/F31</f>
        <v>0.6239197425751617</v>
      </c>
    </row>
    <row r="33" spans="1:15" x14ac:dyDescent="0.2">
      <c r="A33" s="4" t="s">
        <v>73</v>
      </c>
      <c r="C33" s="6"/>
      <c r="D33" s="6"/>
      <c r="E33" s="6"/>
      <c r="F33" s="5">
        <f>'[1]49-2011 (2)'!$H$17/1000</f>
        <v>1412.3765100000001</v>
      </c>
      <c r="G33" s="5">
        <f>'[1]49-2011 (2)'!$P$17/1000</f>
        <v>1514.331463</v>
      </c>
      <c r="H33" s="5">
        <f>'[1]49-2011 (2)'!$V$17/1000</f>
        <v>1488.622744</v>
      </c>
      <c r="I33" s="5">
        <f>'[1]49-2011 (2)'!$AB$17/1000</f>
        <v>1705.9640300000001</v>
      </c>
      <c r="J33" s="5">
        <f>'[1]49-2011 (2)'!$AH$17/1000</f>
        <v>1949.1654920000001</v>
      </c>
    </row>
    <row r="34" spans="1:15" x14ac:dyDescent="0.2">
      <c r="A34" s="4" t="s">
        <v>72</v>
      </c>
      <c r="B34" s="6"/>
      <c r="C34" s="6"/>
      <c r="D34" s="6"/>
      <c r="E34" s="6"/>
      <c r="F34" s="4">
        <f>'[1]49-2011 (2)'!$H$18/1000</f>
        <v>836.42411500000003</v>
      </c>
      <c r="G34" s="4">
        <f>'[1]49-2011 (2)'!$P$18/1000</f>
        <v>959.49250899999993</v>
      </c>
      <c r="H34" s="4">
        <f>'[1]49-2011 (2)'!$V$18/1000</f>
        <v>1047.1326099999999</v>
      </c>
      <c r="I34" s="4">
        <f>'[1]49-2011 (2)'!$AB$18/1000</f>
        <v>1181.510843</v>
      </c>
      <c r="J34" s="4">
        <f>'[1]49-2011 (2)'!$AH$18/1000</f>
        <v>1352.2359389999999</v>
      </c>
    </row>
    <row r="35" spans="1:15" x14ac:dyDescent="0.2">
      <c r="A35" s="4" t="s">
        <v>76</v>
      </c>
      <c r="B35" s="7">
        <f>B30+B31</f>
        <v>1726.2040034080126</v>
      </c>
      <c r="C35" s="7">
        <f t="shared" ref="C35:J35" si="3">C30+C31</f>
        <v>1679.7982964296204</v>
      </c>
      <c r="D35" s="7">
        <f t="shared" si="3"/>
        <v>1478.1858048696949</v>
      </c>
      <c r="E35" s="7">
        <f t="shared" si="3"/>
        <v>1570.8254245762728</v>
      </c>
      <c r="F35" s="7">
        <f t="shared" si="3"/>
        <v>2341.423906</v>
      </c>
      <c r="G35" s="7">
        <f t="shared" si="3"/>
        <v>2558.9687430000004</v>
      </c>
      <c r="H35" s="7">
        <f t="shared" si="3"/>
        <v>2616.1637799999999</v>
      </c>
      <c r="I35" s="7">
        <f t="shared" si="3"/>
        <v>2956.4339050000003</v>
      </c>
      <c r="J35" s="7">
        <f t="shared" si="3"/>
        <v>3354.4044010000002</v>
      </c>
      <c r="O35" s="4">
        <f>'[1]49-2011 (2)'!$AH$17+'[1]49-2011 (2)'!$AH$18+'[1]49-2011 (2)'!$AH$23</f>
        <v>3354404.4010000001</v>
      </c>
    </row>
    <row r="36" spans="1:15" x14ac:dyDescent="0.2">
      <c r="A36" s="4" t="s">
        <v>55</v>
      </c>
      <c r="B36" s="6">
        <f>C36*'tertiaire ancienne série'!B47/'tertiaire ancienne série'!C47</f>
        <v>60.523283353846161</v>
      </c>
      <c r="C36" s="6">
        <f>D36*'tertiaire ancienne série'!C47/'tertiaire ancienne série'!D47</f>
        <v>91.90572657435898</v>
      </c>
      <c r="D36" s="6">
        <f>E36*'tertiaire ancienne série'!D47/'tertiaire ancienne série'!E47</f>
        <v>218.55630100000002</v>
      </c>
      <c r="E36" s="6">
        <f>F36*'tertiaire ancienne série'!E47/'tertiaire ancienne série'!F47</f>
        <v>235.36832415384617</v>
      </c>
      <c r="F36" s="4">
        <f>'[1]49-2011 (2)'!$H$11/1000</f>
        <v>218.55630100000002</v>
      </c>
      <c r="G36" s="4">
        <f>'[1]49-2011 (2)'!$P$11/1000</f>
        <v>284.52291100000002</v>
      </c>
      <c r="H36" s="4">
        <f>'[1]49-2011 (2)'!$V$11/1000</f>
        <v>366.47905400000002</v>
      </c>
      <c r="I36" s="4">
        <f>'[1]49-2011 (2)'!$AB$11/1000</f>
        <v>549.24476200000004</v>
      </c>
      <c r="J36" s="4">
        <f>'[1]49-2011 (2)'!$AH$11/1000</f>
        <v>651.11641000000009</v>
      </c>
      <c r="O36" s="4">
        <f>'[1]49-2011 (2)'!$H$11</f>
        <v>218556.30100000001</v>
      </c>
    </row>
    <row r="37" spans="1:15" x14ac:dyDescent="0.2">
      <c r="A37" s="4" t="s">
        <v>37</v>
      </c>
    </row>
    <row r="38" spans="1:15" x14ac:dyDescent="0.2">
      <c r="A38" s="4" t="s">
        <v>42</v>
      </c>
      <c r="B38" s="6">
        <f>C38*('tertiaire ancienne série'!B53+'tertiaire ancienne série'!B21)/('tertiaire ancienne série'!C53+'tertiaire ancienne série'!C21)</f>
        <v>1013.7410619277107</v>
      </c>
      <c r="C38" s="6">
        <f>D38*('tertiaire ancienne série'!C53+'tertiaire ancienne série'!C21)/('tertiaire ancienne série'!D53+'tertiaire ancienne série'!D21)</f>
        <v>1282.7318441767068</v>
      </c>
      <c r="D38" s="6">
        <f>E38*('tertiaire ancienne série'!D53+'tertiaire ancienne série'!D21)/('tertiaire ancienne série'!E53+'tertiaire ancienne série'!E21)</f>
        <v>1645.5343583132531</v>
      </c>
      <c r="E38" s="6">
        <f>F38*('tertiaire ancienne série'!E53+'tertiaire ancienne série'!E21)/('tertiaire ancienne série'!F53+'tertiaire ancienne série'!F21)</f>
        <v>1802.5254198393575</v>
      </c>
      <c r="F38" s="8">
        <f>'[1]49-2011 (2)'!$H$5/1000</f>
        <v>1906.8670400000001</v>
      </c>
      <c r="G38" s="5">
        <f>'[1]49-2011 (2)'!$P$5/1000</f>
        <v>2248.9843550000001</v>
      </c>
      <c r="H38" s="5">
        <f>'[1]49-2011 (2)'!$V$5/1000</f>
        <v>2582.4611479999999</v>
      </c>
      <c r="I38" s="5">
        <f>'[1]49-2011 (2)'!$AB$5/1000</f>
        <v>2853.3424139999997</v>
      </c>
      <c r="J38" s="5">
        <f>'[1]49-2011 (2)'!$AH$5/1000</f>
        <v>3016.8178800000001</v>
      </c>
      <c r="O38" s="4">
        <f>'[1]49-2011 (2)'!$H$5</f>
        <v>1906867.04</v>
      </c>
    </row>
    <row r="39" spans="1:15" x14ac:dyDescent="0.2">
      <c r="A39" s="4" t="s">
        <v>56</v>
      </c>
    </row>
    <row r="40" spans="1:15" x14ac:dyDescent="0.2">
      <c r="A40" s="4" t="s">
        <v>43</v>
      </c>
      <c r="B40" s="9">
        <f>$C40*'tertiaire ancienne série'!B56/'tertiaire ancienne série'!$C56</f>
        <v>249.65919781695436</v>
      </c>
      <c r="C40" s="9">
        <f>$D40*'tertiaire ancienne série'!C56/'tertiaire ancienne série'!$D56</f>
        <v>298.39744758998529</v>
      </c>
      <c r="D40" s="9">
        <f>$E40*'tertiaire ancienne série'!D56/'tertiaire ancienne série'!$E56</f>
        <v>586.84831359363773</v>
      </c>
      <c r="E40" s="9">
        <f>$F40*'tertiaire ancienne série'!E56/'tertiaire ancienne série'!$F56</f>
        <v>477.43591614397644</v>
      </c>
      <c r="F40" s="9">
        <f>$G40*'tertiaire ancienne série'!F56/'tertiaire ancienne série'!$G56-5</f>
        <v>385.9273655497143</v>
      </c>
      <c r="G40" s="4">
        <f>$H40*'tertiaire ancienne série'!G56/'tertiaire ancienne série'!$H56</f>
        <v>351.63312004342856</v>
      </c>
      <c r="H40" s="4">
        <f>$I40*'tertiaire ancienne série'!H56/'tertiaire ancienne série'!$I56</f>
        <v>325.43695637257144</v>
      </c>
      <c r="I40" s="4">
        <f>$J40*'tertiaire ancienne série'!I56/'tertiaire ancienne série'!$J56</f>
        <v>287.15025562285717</v>
      </c>
      <c r="J40" s="4">
        <f>'tertiaire ancienne série'!J56/'tertiaire ancienne série'!J$63*('calcul intermédiaire1'!J$48-J$47)</f>
        <v>255.91636816914286</v>
      </c>
    </row>
    <row r="41" spans="1:15" x14ac:dyDescent="0.2">
      <c r="A41" s="4" t="s">
        <v>58</v>
      </c>
      <c r="B41" s="9">
        <f>$C41*'tertiaire ancienne série'!B57/'tertiaire ancienne série'!$C57</f>
        <v>61.383445129605889</v>
      </c>
      <c r="C41" s="9">
        <f>$D41*'tertiaire ancienne série'!C57/'tertiaire ancienne série'!$D57</f>
        <v>62.899085750089981</v>
      </c>
      <c r="D41" s="9">
        <f>$E41*'tertiaire ancienne série'!D57/'tertiaire ancienne série'!$E57</f>
        <v>68.961648232026363</v>
      </c>
      <c r="E41" s="9">
        <f>$F41*'tertiaire ancienne série'!E57/'tertiaire ancienne série'!$F57</f>
        <v>70.477288852510469</v>
      </c>
      <c r="F41" s="9">
        <f>$G41*'tertiaire ancienne série'!F57/'tertiaire ancienne série'!$G57-5-9</f>
        <v>75.782031024204798</v>
      </c>
      <c r="G41" s="9">
        <f>$H41*'tertiaire ancienne série'!G57/'tertiaire ancienne série'!$H57-4</f>
        <v>98.760234126625278</v>
      </c>
      <c r="H41" s="9">
        <f>$I41*'tertiaire ancienne série'!H57/'tertiaire ancienne série'!$I57-7</f>
        <v>144.79851172388106</v>
      </c>
      <c r="I41" s="9">
        <f>$J41*'tertiaire ancienne série'!I57/'tertiaire ancienne série'!$J57-10</f>
        <v>196.84839262258126</v>
      </c>
      <c r="J41" s="9">
        <f>'tertiaire ancienne série'!J57/'tertiaire ancienne série'!J$63*('calcul intermédiaire1'!J$48-J$47)+5</f>
        <v>238.75038352457142</v>
      </c>
    </row>
    <row r="42" spans="1:15" x14ac:dyDescent="0.2">
      <c r="A42" s="4" t="s">
        <v>60</v>
      </c>
      <c r="B42" s="9">
        <f>$C42*'tertiaire ancienne série'!B58/'tertiaire ancienne série'!$C58</f>
        <v>24.307993219957918</v>
      </c>
      <c r="C42" s="9">
        <f>$D42*'tertiaire ancienne série'!C58/'tertiaire ancienne série'!$D58</f>
        <v>25.146199882715088</v>
      </c>
      <c r="D42" s="9">
        <f>$E42*'tertiaire ancienne série'!D58/'tertiaire ancienne série'!$E58</f>
        <v>36.042886498558296</v>
      </c>
      <c r="E42" s="9">
        <f>$F42*'tertiaire ancienne série'!E58/'tertiaire ancienne série'!$F58</f>
        <v>40.233919812344141</v>
      </c>
      <c r="F42" s="9">
        <f>$G42*'tertiaire ancienne série'!F58/'tertiaire ancienne série'!$G58-5</f>
        <v>48.615986439915837</v>
      </c>
      <c r="G42" s="9">
        <f>$H42*'tertiaire ancienne série'!G58/'tertiaire ancienne série'!$H58-4</f>
        <v>80.423979659873751</v>
      </c>
      <c r="H42" s="9">
        <f>$I42*'tertiaire ancienne série'!H58/'tertiaire ancienne série'!$I58-7</f>
        <v>99.950228792724104</v>
      </c>
      <c r="I42" s="9">
        <f>$J42*'tertiaire ancienne série'!I58/'tertiaire ancienne série'!$J58-10</f>
        <v>136.02407739657144</v>
      </c>
      <c r="J42" s="9">
        <f>'tertiaire ancienne série'!J58/'tertiaire ancienne série'!J$63*('calcul intermédiaire1'!J$48-J$47)+5+10</f>
        <v>156.05626592000002</v>
      </c>
    </row>
    <row r="43" spans="1:15" x14ac:dyDescent="0.2">
      <c r="A43" s="4" t="s">
        <v>44</v>
      </c>
      <c r="B43" s="9">
        <f>$C43*'tertiaire ancienne série'!B59/'tertiaire ancienne série'!$C59</f>
        <v>50</v>
      </c>
      <c r="C43" s="9">
        <f>$D43*'tertiaire ancienne série'!C59/'tertiaire ancienne série'!$D59</f>
        <v>48</v>
      </c>
      <c r="D43" s="9">
        <f>$E43*'tertiaire ancienne série'!D59/'tertiaire ancienne série'!$E59</f>
        <v>45</v>
      </c>
      <c r="E43" s="6">
        <v>50</v>
      </c>
      <c r="F43" s="4">
        <f>$G43*'tertiaire ancienne série'!F59/'tertiaire ancienne série'!$G59</f>
        <v>45.72421040515615</v>
      </c>
      <c r="G43" s="4">
        <f>$H43*'tertiaire ancienne série'!G59/'tertiaire ancienne série'!$H59</f>
        <v>44.949223788119603</v>
      </c>
      <c r="H43" s="4">
        <f>$I43*'tertiaire ancienne série'!H59/'tertiaire ancienne série'!$I59</f>
        <v>44.174237171083057</v>
      </c>
      <c r="I43" s="4">
        <f>$J43*'tertiaire ancienne série'!I59/'tertiaire ancienne série'!$J59</f>
        <v>39.524317468863785</v>
      </c>
      <c r="J43" s="9">
        <f>'tertiaire ancienne série'!J59/'tertiaire ancienne série'!J$63*('calcul intermédiaire1'!J$48-J$47)-10</f>
        <v>33.324424532571427</v>
      </c>
    </row>
    <row r="44" spans="1:15" x14ac:dyDescent="0.2">
      <c r="A44" s="4" t="s">
        <v>59</v>
      </c>
      <c r="B44" s="9">
        <f>$C44*'tertiaire ancienne série'!B60/'tertiaire ancienne série'!$C60</f>
        <v>84.633759551999987</v>
      </c>
      <c r="C44" s="9">
        <f>$D44*'tertiaire ancienne série'!C60/'tertiaire ancienne série'!$D60</f>
        <v>105.79219943999999</v>
      </c>
      <c r="D44" s="9">
        <f>$E44*'tertiaire ancienne série'!D60/'tertiaire ancienne série'!$E60</f>
        <v>121.91291554514284</v>
      </c>
      <c r="E44" s="9">
        <f>$F44*'tertiaire ancienne série'!E60/'tertiaire ancienne série'!$F60</f>
        <v>115.86764700571428</v>
      </c>
      <c r="F44" s="4">
        <f>$G44*'tertiaire ancienne série'!F60/'tertiaire ancienne série'!$G60</f>
        <v>81.611125282285713</v>
      </c>
      <c r="G44" s="4">
        <f>$H44*'tertiaire ancienne série'!G60/'tertiaire ancienne série'!$H60</f>
        <v>106.79974419657144</v>
      </c>
      <c r="H44" s="4">
        <f>$I44*'tertiaire ancienne série'!H60/'tertiaire ancienne série'!$I60</f>
        <v>122.9204603017143</v>
      </c>
      <c r="I44" s="4">
        <f>$J44*'tertiaire ancienne série'!I60/'tertiaire ancienne série'!$J60</f>
        <v>123.92800505828572</v>
      </c>
      <c r="J44" s="4">
        <f>'tertiaire ancienne série'!J60/'tertiaire ancienne série'!J$63*('calcul intermédiaire1'!J$48-J$47)</f>
        <v>137.02608689371428</v>
      </c>
    </row>
    <row r="45" spans="1:15" x14ac:dyDescent="0.2">
      <c r="A45" s="4" t="s">
        <v>45</v>
      </c>
      <c r="B45" s="9">
        <v>0</v>
      </c>
      <c r="C45" s="9">
        <f>$D45*'tertiaire ancienne série'!C61/'tertiaire ancienne série'!$D61</f>
        <v>0</v>
      </c>
      <c r="D45" s="9">
        <f>$E45*'tertiaire ancienne série'!D61/'tertiaire ancienne série'!$E61+1</f>
        <v>2.0040974113841208</v>
      </c>
      <c r="E45" s="9">
        <f>$F45*'tertiaire ancienne série'!E61/'tertiaire ancienne série'!$F61</f>
        <v>9.0368767024570875</v>
      </c>
      <c r="F45" s="9">
        <f>$G45*'tertiaire ancienne série'!F61/'tertiaire ancienne série'!$G61</f>
        <v>12.049168936609451</v>
      </c>
      <c r="G45" s="9">
        <f>$H45*'tertiaire ancienne série'!G61/'tertiaire ancienne série'!$H61-2</f>
        <v>17.069655993530056</v>
      </c>
      <c r="H45" s="9">
        <f>$I45*'tertiaire ancienne série'!H61/'tertiaire ancienne série'!$I61-5</f>
        <v>26.921867284983609</v>
      </c>
      <c r="I45" s="9">
        <f>$J45*'tertiaire ancienne série'!I61/'tertiaire ancienne série'!$J61-10</f>
        <v>37.242178499147542</v>
      </c>
      <c r="J45" s="9">
        <f>'tertiaire ancienne série'!J61/'tertiaire ancienne série'!J$63*('calcul intermédiaire1'!J$48-J$47)-10</f>
        <v>51.460230150857143</v>
      </c>
    </row>
    <row r="46" spans="1:15" x14ac:dyDescent="0.2">
      <c r="A46" s="4" t="s">
        <v>46</v>
      </c>
      <c r="B46" s="9">
        <f>$C46*'tertiaire ancienne série'!B62/'tertiaire ancienne série'!$C62</f>
        <v>30</v>
      </c>
      <c r="C46" s="9">
        <f>$D46*'tertiaire ancienne série'!C62/'tertiaire ancienne série'!$D62</f>
        <v>24</v>
      </c>
      <c r="D46" s="9">
        <f>$E46*'tertiaire ancienne série'!D62/'tertiaire ancienne série'!$E62</f>
        <v>18</v>
      </c>
      <c r="E46" s="6">
        <v>17</v>
      </c>
      <c r="F46" s="4">
        <f>$G46*'tertiaire ancienne série'!F62/'tertiaire ancienne série'!$G62</f>
        <v>17.128260861714285</v>
      </c>
      <c r="G46" s="4">
        <f>$H46*'tertiaire ancienne série'!G62/'tertiaire ancienne série'!$H62</f>
        <v>18.135805618285715</v>
      </c>
      <c r="H46" s="4">
        <f>$I46*'tertiaire ancienne série'!H62/'tertiaire ancienne série'!$I62</f>
        <v>16.120716105142858</v>
      </c>
      <c r="I46" s="4">
        <f>$J46*'tertiaire ancienne série'!I62/'tertiaire ancienne série'!$J62</f>
        <v>14.105626592</v>
      </c>
      <c r="J46" s="4">
        <f>'tertiaire ancienne série'!J62/'tertiaire ancienne série'!J$63*('calcul intermédiaire1'!J$48-J$47)</f>
        <v>9.0679028091428577</v>
      </c>
    </row>
    <row r="47" spans="1:15" x14ac:dyDescent="0.2">
      <c r="A47" s="4" t="s">
        <v>70</v>
      </c>
      <c r="B47" s="4">
        <f t="shared" ref="B47:I47" si="4">-(SUM(B40:B46)-B48)</f>
        <v>63.805994378375885</v>
      </c>
      <c r="C47" s="4">
        <f t="shared" si="4"/>
        <v>61.124015948637862</v>
      </c>
      <c r="D47" s="4">
        <f t="shared" si="4"/>
        <v>62.607170400500536</v>
      </c>
      <c r="E47" s="4">
        <f t="shared" si="4"/>
        <v>75.844932732997563</v>
      </c>
      <c r="F47" s="4">
        <f t="shared" si="4"/>
        <v>135.62256950039955</v>
      </c>
      <c r="G47" s="4">
        <f t="shared" si="4"/>
        <v>160.29352457356538</v>
      </c>
      <c r="H47" s="4">
        <f t="shared" si="4"/>
        <v>192.51352824789967</v>
      </c>
      <c r="I47" s="4">
        <f t="shared" si="4"/>
        <v>222.54699373969322</v>
      </c>
      <c r="J47" s="4">
        <v>250</v>
      </c>
    </row>
    <row r="48" spans="1:15" x14ac:dyDescent="0.2">
      <c r="A48" s="4" t="s">
        <v>47</v>
      </c>
      <c r="B48" s="10">
        <f>C48*'tertiaire ancienne série'!B65/'tertiaire ancienne série'!C65+20</f>
        <v>563.79039009689404</v>
      </c>
      <c r="C48" s="10">
        <f>D48*'tertiaire ancienne série'!C65/'tertiaire ancienne série'!D65+20</f>
        <v>625.35894861142822</v>
      </c>
      <c r="D48" s="10">
        <f>E48*'tertiaire ancienne série'!D65/'tertiaire ancienne série'!E65+23</f>
        <v>941.37703168124995</v>
      </c>
      <c r="E48" s="10">
        <f>F48*'tertiaire ancienne série'!E65/'tertiaire ancienne série'!F65+20</f>
        <v>855.89658124999994</v>
      </c>
      <c r="F48" s="4">
        <f>'[1]49-2011 (2)'!$H$6/1000</f>
        <v>802.46071800000004</v>
      </c>
      <c r="G48" s="4">
        <f>'[1]49-2011 (2)'!$P$6/1000</f>
        <v>878.0652879999999</v>
      </c>
      <c r="H48" s="4">
        <f>'[1]49-2011 (2)'!$V$6/1000</f>
        <v>972.8365060000001</v>
      </c>
      <c r="I48" s="4">
        <f>'[1]49-2011 (2)'!$AB$6/1000</f>
        <v>1057.3698470000002</v>
      </c>
      <c r="J48" s="4">
        <f>'[1]49-2011 (2)'!$AH$6/1000</f>
        <v>1131.601662</v>
      </c>
      <c r="O48" s="4">
        <f>'[1]49-2011 (2)'!$H$6</f>
        <v>802460.71799999999</v>
      </c>
    </row>
    <row r="49" spans="1:15" x14ac:dyDescent="0.2">
      <c r="B49" s="6"/>
      <c r="C49" s="6"/>
      <c r="D49" s="6"/>
      <c r="E49" s="6"/>
    </row>
    <row r="50" spans="1:15" ht="12.75" x14ac:dyDescent="0.2">
      <c r="A50" t="s">
        <v>66</v>
      </c>
      <c r="B50" s="10">
        <f>67+10</f>
        <v>77</v>
      </c>
      <c r="C50" s="10">
        <f>75+5</f>
        <v>80</v>
      </c>
      <c r="D50" s="10">
        <v>83</v>
      </c>
      <c r="E50" s="10">
        <f>'[1]49-2011 (2)'!C8/1000+5</f>
        <v>74.425808999999987</v>
      </c>
      <c r="F50" s="4">
        <f>'[1]49-2011'!H26/1000</f>
        <v>1906.8670400000001</v>
      </c>
      <c r="G50" s="4">
        <f>'[1]49-2011'!P26/1000</f>
        <v>2248.9843550000001</v>
      </c>
      <c r="H50" s="4">
        <f>'[1]49-2011'!V26/1000</f>
        <v>2582.4611479999999</v>
      </c>
      <c r="I50" s="4">
        <f>'[1]49-2011'!AB26/1000</f>
        <v>2853.3424139999997</v>
      </c>
      <c r="J50" s="4">
        <f>'[1]49-2011'!AH26/1000</f>
        <v>3016.8178800000001</v>
      </c>
    </row>
    <row r="51" spans="1:15" ht="12.75" x14ac:dyDescent="0.2">
      <c r="A51" t="s">
        <v>67</v>
      </c>
      <c r="B51" s="6">
        <v>6</v>
      </c>
      <c r="C51" s="6">
        <v>20</v>
      </c>
      <c r="D51" s="6">
        <v>55</v>
      </c>
      <c r="E51" s="6">
        <f>'[1]49-2011 (2)'!C9/1000</f>
        <v>64.982733999999994</v>
      </c>
      <c r="F51" s="4">
        <f>'[1]49-2011'!H27/1000</f>
        <v>802.46071800000004</v>
      </c>
      <c r="G51" s="4">
        <f>'[1]49-2011'!P27/1000</f>
        <v>878.0652879999999</v>
      </c>
      <c r="H51" s="4">
        <f>'[1]49-2011'!V27/1000</f>
        <v>972.8365060000001</v>
      </c>
      <c r="I51" s="4">
        <f>'[1]49-2011'!AB27/1000</f>
        <v>1057.3698470000002</v>
      </c>
      <c r="J51" s="4">
        <f>'[1]49-2011'!AH27/1000</f>
        <v>1131.601662</v>
      </c>
    </row>
    <row r="52" spans="1:15" ht="12.75" x14ac:dyDescent="0.2">
      <c r="A52" t="s">
        <v>68</v>
      </c>
      <c r="B52" s="6">
        <v>0</v>
      </c>
      <c r="C52" s="6">
        <v>0</v>
      </c>
      <c r="D52" s="6">
        <v>10</v>
      </c>
      <c r="E52" s="6">
        <f>'[1]49-2011 (2)'!C10/1000-5-5-20</f>
        <v>20.742830999999995</v>
      </c>
      <c r="F52" s="4">
        <f>'[1]49-2011'!H28/1000</f>
        <v>509.29800399999999</v>
      </c>
      <c r="G52" s="4">
        <f>'[1]49-2011'!P28/1000</f>
        <v>542.42024600000002</v>
      </c>
      <c r="H52" s="4">
        <f>'[1]49-2011'!V28/1000</f>
        <v>561.495901</v>
      </c>
      <c r="I52" s="4">
        <f>'[1]49-2011'!AB28/1000</f>
        <v>606.61013500000001</v>
      </c>
      <c r="J52" s="4">
        <f>'[1]49-2011'!AH28/1000</f>
        <v>602.70773299999996</v>
      </c>
    </row>
    <row r="53" spans="1:15" x14ac:dyDescent="0.2">
      <c r="A53" s="4" t="s">
        <v>69</v>
      </c>
      <c r="B53" s="7">
        <f>SUM(B50:B52)</f>
        <v>83</v>
      </c>
      <c r="C53" s="7">
        <f>SUM(C50:C52)</f>
        <v>100</v>
      </c>
      <c r="D53" s="7">
        <f>SUM(D50:D52)</f>
        <v>148</v>
      </c>
      <c r="E53" s="7">
        <f t="shared" ref="E53:J53" si="5">SUM(E50:E52)</f>
        <v>160.15137399999998</v>
      </c>
      <c r="F53" s="4">
        <f t="shared" si="5"/>
        <v>3218.6257620000006</v>
      </c>
      <c r="G53" s="4">
        <f t="shared" si="5"/>
        <v>3669.469889</v>
      </c>
      <c r="H53" s="4">
        <f t="shared" si="5"/>
        <v>4116.7935550000002</v>
      </c>
      <c r="I53" s="4">
        <f t="shared" si="5"/>
        <v>4517.3223959999996</v>
      </c>
      <c r="J53" s="4">
        <f t="shared" si="5"/>
        <v>4751.1272749999998</v>
      </c>
      <c r="O53" s="4">
        <f>'[1]49-2011 (2)'!$H$8+'[1]49-2011 (2)'!$H$9+'[1]49-2011 (2)'!$H$10</f>
        <v>201567.68700000001</v>
      </c>
    </row>
    <row r="54" spans="1:15" x14ac:dyDescent="0.2">
      <c r="B54" s="6"/>
      <c r="C54" s="6"/>
      <c r="D54" s="6"/>
      <c r="E54" s="7"/>
    </row>
    <row r="55" spans="1:15" x14ac:dyDescent="0.2">
      <c r="F55" s="5">
        <f>F56-'[1]49-2011 (2)'!$H$25</f>
        <v>3108.7439395067286</v>
      </c>
    </row>
    <row r="56" spans="1:15" x14ac:dyDescent="0.2">
      <c r="A56" s="4" t="s">
        <v>49</v>
      </c>
      <c r="B56" s="5">
        <f t="shared" ref="B56:J56" si="6">B7+B15+B16+B19+B20+B21+B22+B35+B36+B38+B48+B53</f>
        <v>5164.689683989116</v>
      </c>
      <c r="C56" s="5">
        <f t="shared" si="6"/>
        <v>5951.4699142199015</v>
      </c>
      <c r="D56" s="5">
        <f t="shared" si="6"/>
        <v>6882.6431036276936</v>
      </c>
      <c r="E56" s="5">
        <f t="shared" si="6"/>
        <v>7444.2433544157839</v>
      </c>
      <c r="F56" s="5">
        <f t="shared" si="6"/>
        <v>11767.868048506727</v>
      </c>
      <c r="G56" s="5">
        <f t="shared" si="6"/>
        <v>13274.241449821424</v>
      </c>
      <c r="H56" s="5">
        <f t="shared" si="6"/>
        <v>14777.58963851425</v>
      </c>
      <c r="I56" s="5">
        <f t="shared" si="6"/>
        <v>16714.372697200059</v>
      </c>
      <c r="J56" s="5">
        <f t="shared" si="6"/>
        <v>18351.611657147008</v>
      </c>
    </row>
    <row r="57" spans="1:15" x14ac:dyDescent="0.2">
      <c r="A57" s="4" t="s">
        <v>52</v>
      </c>
      <c r="B57" s="8">
        <f t="shared" ref="B57:J57" si="7">B56/B58*100</f>
        <v>2.628787840238609E-2</v>
      </c>
      <c r="C57" s="8">
        <f t="shared" si="7"/>
        <v>2.9858672836264952E-2</v>
      </c>
      <c r="D57" s="8">
        <f t="shared" si="7"/>
        <v>3.3585530456398657E-2</v>
      </c>
      <c r="E57" s="8">
        <f t="shared" si="7"/>
        <v>3.9255511186695846E-2</v>
      </c>
      <c r="F57" s="8">
        <f t="shared" si="7"/>
        <v>5.9634507078969223E-2</v>
      </c>
      <c r="G57" s="8">
        <f t="shared" si="7"/>
        <v>6.5867505789070357E-2</v>
      </c>
      <c r="H57" s="8">
        <f t="shared" si="7"/>
        <v>7.1211361052944566E-2</v>
      </c>
      <c r="I57" s="8">
        <f t="shared" si="7"/>
        <v>7.5671477867487194E-2</v>
      </c>
      <c r="J57" s="8">
        <f t="shared" si="7"/>
        <v>8.0900676594883897E-2</v>
      </c>
    </row>
    <row r="58" spans="1:15" x14ac:dyDescent="0.2">
      <c r="A58" s="4" t="s">
        <v>51</v>
      </c>
      <c r="B58" s="7">
        <f>C58*'tertiaire ancienne série'!B69/'tertiaire ancienne série'!C69</f>
        <v>19646658.451981921</v>
      </c>
      <c r="C58" s="7">
        <f>D58*'tertiaire ancienne série'!C69/'tertiaire ancienne série'!D69</f>
        <v>19932131.434159134</v>
      </c>
      <c r="D58" s="7">
        <f>E58*'tertiaire ancienne série'!D69/'tertiaire ancienne série'!E69</f>
        <v>20492881.934864376</v>
      </c>
      <c r="E58" s="7">
        <f>F58*'tertiaire ancienne série'!E69/'tertiaire ancienne série'!F69</f>
        <v>18963562.387486435</v>
      </c>
      <c r="F58" s="5">
        <f>'[1]49-2011 (2)'!$H$26</f>
        <v>19733319.892999999</v>
      </c>
      <c r="G58" s="5">
        <f>'[1]49-2011 (2)'!$P$26</f>
        <v>20152943.839000002</v>
      </c>
      <c r="H58" s="5">
        <f>'[1]49-2011 (2)'!$V$26</f>
        <v>20751730.370000001</v>
      </c>
      <c r="I58" s="5">
        <f>'[1]49-2011 (2)'!$AB$26</f>
        <v>22088074.884</v>
      </c>
      <c r="J58" s="5">
        <f>'[1]49-2011 (2)'!$AH$26</f>
        <v>22684126.300999999</v>
      </c>
    </row>
    <row r="62" spans="1:15" x14ac:dyDescent="0.2">
      <c r="A62" s="4" t="s">
        <v>71</v>
      </c>
      <c r="B62" s="4">
        <f t="shared" ref="B62:J62" si="8">B51+B47</f>
        <v>69.805994378375885</v>
      </c>
      <c r="C62" s="4">
        <f t="shared" si="8"/>
        <v>81.124015948637862</v>
      </c>
      <c r="D62" s="4">
        <f t="shared" si="8"/>
        <v>117.60717040050054</v>
      </c>
      <c r="E62" s="4">
        <f t="shared" si="8"/>
        <v>140.82766673299756</v>
      </c>
      <c r="F62" s="4">
        <f t="shared" si="8"/>
        <v>938.08328750039959</v>
      </c>
      <c r="G62" s="4">
        <f t="shared" si="8"/>
        <v>1038.3588125735653</v>
      </c>
      <c r="H62" s="4">
        <f t="shared" si="8"/>
        <v>1165.3500342478997</v>
      </c>
      <c r="I62" s="4">
        <f t="shared" si="8"/>
        <v>1279.9168407396933</v>
      </c>
      <c r="J62" s="4">
        <f t="shared" si="8"/>
        <v>1381.601662</v>
      </c>
    </row>
    <row r="63" spans="1:15" x14ac:dyDescent="0.2">
      <c r="B63" s="4">
        <f t="shared" ref="B63:I63" si="9">B62/C62</f>
        <v>0.86048494471196091</v>
      </c>
      <c r="C63" s="4">
        <f t="shared" si="9"/>
        <v>0.68978800928869721</v>
      </c>
      <c r="D63" s="4">
        <f t="shared" si="9"/>
        <v>0.83511410171609279</v>
      </c>
      <c r="E63" s="4">
        <f t="shared" si="9"/>
        <v>0.15012277546084901</v>
      </c>
      <c r="F63" s="4">
        <f t="shared" si="9"/>
        <v>0.90342883032442944</v>
      </c>
      <c r="G63" s="4">
        <f t="shared" si="9"/>
        <v>0.89102740125949131</v>
      </c>
      <c r="H63" s="4">
        <f t="shared" si="9"/>
        <v>0.91048886705359477</v>
      </c>
      <c r="I63" s="4">
        <f t="shared" si="9"/>
        <v>0.92640076799480087</v>
      </c>
    </row>
    <row r="64" spans="1:15" x14ac:dyDescent="0.2">
      <c r="I64" s="4">
        <f>E63*F63*G63*H63*I63</f>
        <v>0.10193073054728097</v>
      </c>
    </row>
    <row r="65" spans="6:10" x14ac:dyDescent="0.2">
      <c r="I65" s="4">
        <f>I64*D63</f>
        <v>8.5123790478257647E-2</v>
      </c>
    </row>
    <row r="66" spans="6:10" x14ac:dyDescent="0.2">
      <c r="I66" s="4">
        <f>I65*C63*B63</f>
        <v>5.0525412858381379E-2</v>
      </c>
    </row>
    <row r="69" spans="6:10" x14ac:dyDescent="0.2">
      <c r="F69" s="12">
        <f>F24+F35+F36+F38+F48+F53</f>
        <v>11767.868048506723</v>
      </c>
      <c r="G69" s="12">
        <f>G24+G35+G36+G38+G48+G53</f>
        <v>13274.241449821424</v>
      </c>
      <c r="H69" s="12">
        <f>H24+H35+H36+H38+H48+H53</f>
        <v>14777.589638514251</v>
      </c>
      <c r="I69" s="12">
        <f>I24+I35+I36+I38+I48+I53</f>
        <v>16714.372697200059</v>
      </c>
      <c r="J69" s="12">
        <f>J24+J35+J36+J38+J48+J53</f>
        <v>18351.611657147008</v>
      </c>
    </row>
    <row r="166" spans="1:1" x14ac:dyDescent="0.2">
      <c r="A166" s="5"/>
    </row>
    <row r="192" spans="1:1" x14ac:dyDescent="0.2">
      <c r="A192" s="5"/>
    </row>
    <row r="193" spans="1:1" x14ac:dyDescent="0.2">
      <c r="A193" s="5"/>
    </row>
    <row r="219" spans="1:1" x14ac:dyDescent="0.2">
      <c r="A219" s="5"/>
    </row>
    <row r="247" spans="1:1" x14ac:dyDescent="0.2">
      <c r="A247" s="5"/>
    </row>
    <row r="248" spans="1:1" x14ac:dyDescent="0.2">
      <c r="A248" s="5"/>
    </row>
    <row r="266" spans="1:1" x14ac:dyDescent="0.2">
      <c r="A266" s="5"/>
    </row>
    <row r="274" spans="1:1" x14ac:dyDescent="0.2">
      <c r="A274" s="5"/>
    </row>
    <row r="275" spans="1:1" x14ac:dyDescent="0.2">
      <c r="A275" s="5"/>
    </row>
    <row r="294" spans="1:1" x14ac:dyDescent="0.2">
      <c r="A294" s="5"/>
    </row>
    <row r="302" spans="1:1" x14ac:dyDescent="0.2">
      <c r="A302" s="5"/>
    </row>
    <row r="303" spans="1:1" x14ac:dyDescent="0.2">
      <c r="A303" s="5"/>
    </row>
    <row r="304" spans="1:1" x14ac:dyDescent="0.2">
      <c r="A304" s="4" t="s">
        <v>25</v>
      </c>
    </row>
    <row r="305" spans="1:1" x14ac:dyDescent="0.2">
      <c r="A305" s="4" t="s">
        <v>26</v>
      </c>
    </row>
  </sheetData>
  <phoneticPr fontId="0" type="noConversion"/>
  <pageMargins left="0.78740157499999996" right="0.78740157499999996" top="0.984251969" bottom="0.984251969" header="0.4921259845" footer="0.4921259845"/>
  <pageSetup paperSize="9" orientation="portrait"/>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M311"/>
  <sheetViews>
    <sheetView workbookViewId="0">
      <pane xSplit="1" ySplit="5" topLeftCell="Q53" activePane="bottomRight" state="frozen"/>
      <selection pane="topRight" activeCell="B1" sqref="B1"/>
      <selection pane="bottomLeft" activeCell="A4" sqref="A4"/>
      <selection pane="bottomRight" activeCell="N1" sqref="N1:R65536"/>
    </sheetView>
  </sheetViews>
  <sheetFormatPr baseColWidth="10" defaultColWidth="11.42578125" defaultRowHeight="12" x14ac:dyDescent="0.2"/>
  <cols>
    <col min="1" max="1" width="40.42578125" style="15" customWidth="1"/>
    <col min="2" max="13" width="8.7109375" style="15" customWidth="1"/>
    <col min="14" max="16384" width="11.42578125" style="15"/>
  </cols>
  <sheetData>
    <row r="3" spans="1:13" x14ac:dyDescent="0.2">
      <c r="A3" s="15" t="s">
        <v>0</v>
      </c>
      <c r="B3" s="46">
        <f t="shared" ref="B3:L3" si="0">B13+B15+B14</f>
        <v>101.52236963831473</v>
      </c>
      <c r="C3" s="46">
        <f t="shared" si="0"/>
        <v>142.6706370217006</v>
      </c>
      <c r="D3" s="46">
        <f t="shared" si="0"/>
        <v>171.40777257692469</v>
      </c>
      <c r="E3" s="46">
        <f t="shared" si="0"/>
        <v>210.83097140097215</v>
      </c>
      <c r="F3" s="46">
        <f t="shared" si="0"/>
        <v>247.11523964205571</v>
      </c>
      <c r="G3" s="46">
        <f t="shared" si="0"/>
        <v>338.24702459225949</v>
      </c>
      <c r="H3" s="46">
        <f t="shared" si="0"/>
        <v>439.97683498374209</v>
      </c>
      <c r="I3" s="46">
        <f t="shared" si="0"/>
        <v>543.64921446507685</v>
      </c>
      <c r="J3" s="46">
        <f t="shared" si="0"/>
        <v>809.85009700000001</v>
      </c>
      <c r="K3" s="46">
        <f t="shared" si="0"/>
        <v>890.70572299999992</v>
      </c>
      <c r="L3" s="46">
        <f t="shared" si="0"/>
        <v>1056.378682</v>
      </c>
      <c r="M3" s="46">
        <f>M13+M15+M14</f>
        <v>1053.1770140000001</v>
      </c>
    </row>
    <row r="4" spans="1:13" ht="12.75" thickBot="1" x14ac:dyDescent="0.25">
      <c r="A4" s="15" t="s">
        <v>88</v>
      </c>
    </row>
    <row r="5" spans="1:13" ht="18" customHeight="1" x14ac:dyDescent="0.2">
      <c r="A5" s="37"/>
      <c r="B5" s="18">
        <v>1906</v>
      </c>
      <c r="C5" s="18">
        <v>1926</v>
      </c>
      <c r="D5" s="18">
        <v>1936</v>
      </c>
      <c r="E5" s="18">
        <v>1954</v>
      </c>
      <c r="F5" s="18">
        <v>1962</v>
      </c>
      <c r="G5" s="18">
        <v>1968</v>
      </c>
      <c r="H5" s="18">
        <v>1974</v>
      </c>
      <c r="I5" s="18">
        <v>1980</v>
      </c>
      <c r="J5" s="18">
        <v>1990</v>
      </c>
      <c r="K5" s="18">
        <v>2000</v>
      </c>
      <c r="L5" s="18">
        <v>2008</v>
      </c>
      <c r="M5" s="19">
        <v>2011</v>
      </c>
    </row>
    <row r="6" spans="1:13" ht="18" customHeight="1" thickBot="1" x14ac:dyDescent="0.25">
      <c r="A6" s="39"/>
      <c r="B6" s="40"/>
      <c r="C6" s="40"/>
      <c r="D6" s="40"/>
      <c r="E6" s="40"/>
      <c r="F6" s="40"/>
      <c r="G6" s="40"/>
      <c r="H6" s="40"/>
      <c r="I6" s="40"/>
      <c r="J6" s="40"/>
      <c r="K6" s="40"/>
      <c r="L6" s="40"/>
      <c r="M6" s="41"/>
    </row>
    <row r="7" spans="1:13" ht="18" customHeight="1" x14ac:dyDescent="0.2">
      <c r="A7" s="38" t="s">
        <v>2</v>
      </c>
      <c r="B7" s="20"/>
      <c r="C7" s="20"/>
      <c r="D7" s="20"/>
      <c r="E7" s="20"/>
      <c r="F7" s="20"/>
      <c r="G7" s="20"/>
      <c r="H7" s="20"/>
      <c r="I7" s="20"/>
      <c r="J7" s="20"/>
      <c r="K7" s="20"/>
      <c r="L7" s="20"/>
      <c r="M7" s="21"/>
    </row>
    <row r="8" spans="1:13" ht="18" customHeight="1" x14ac:dyDescent="0.2">
      <c r="A8" s="38"/>
      <c r="B8" s="20"/>
      <c r="C8" s="20"/>
      <c r="D8" s="20"/>
      <c r="E8" s="20"/>
      <c r="F8" s="20"/>
      <c r="G8" s="20"/>
      <c r="H8" s="20"/>
      <c r="I8" s="20"/>
      <c r="J8" s="20"/>
      <c r="K8" s="20"/>
      <c r="L8" s="20"/>
      <c r="M8" s="21"/>
    </row>
    <row r="9" spans="1:13" ht="18" customHeight="1" x14ac:dyDescent="0.2">
      <c r="A9" s="38" t="s">
        <v>80</v>
      </c>
      <c r="B9" s="22">
        <f>C9*'tertiaire ancienne série'!C8/'tertiaire ancienne série'!D8</f>
        <v>32.330991071428571</v>
      </c>
      <c r="C9" s="22">
        <f>D9*'tertiaire ancienne série'!D8/'tertiaire ancienne série'!E8</f>
        <v>90.526775000000001</v>
      </c>
      <c r="D9" s="22">
        <f>E9</f>
        <v>90.526775000000001</v>
      </c>
      <c r="E9" s="22">
        <f>'[1]49-2011 (2)'!$H$12/1000</f>
        <v>90.526775000000001</v>
      </c>
      <c r="F9" s="22">
        <f>'[1]49-2011 (2)'!$P$12/1000</f>
        <v>107.238</v>
      </c>
      <c r="G9" s="22">
        <f>'[1]49-2011 (2)'!$V$12/1000</f>
        <v>150.91540799999999</v>
      </c>
      <c r="H9" s="22">
        <f>'[1]49-2011 (2)'!$AB$12/1000</f>
        <v>203.35910699999999</v>
      </c>
      <c r="I9" s="22">
        <f>'[1]49-2011 (2)'!$AH$12/1000</f>
        <v>248.46679800000001</v>
      </c>
      <c r="J9" s="22">
        <f>'[1]49-2011 (2)'!$AR$12/1000</f>
        <v>318.119508</v>
      </c>
      <c r="K9" s="22">
        <f>'[1]49-2011 (2)'!$BB$12/1000</f>
        <v>353.68250599999999</v>
      </c>
      <c r="L9" s="22">
        <f>'[1]49-2011 (2)'!$BJ$12/1000</f>
        <v>381.37691100000001</v>
      </c>
      <c r="M9" s="23">
        <f>'[1]49-2011 (2)'!$BM$12/1000</f>
        <v>359.60443300000003</v>
      </c>
    </row>
    <row r="10" spans="1:13" ht="18" customHeight="1" x14ac:dyDescent="0.2">
      <c r="A10" s="38"/>
      <c r="B10" s="20"/>
      <c r="C10" s="20"/>
      <c r="D10" s="20"/>
      <c r="E10" s="20"/>
      <c r="F10" s="20"/>
      <c r="G10" s="20"/>
      <c r="H10" s="20"/>
      <c r="I10" s="20"/>
      <c r="J10" s="20"/>
      <c r="K10" s="20"/>
      <c r="L10" s="20"/>
      <c r="M10" s="21"/>
    </row>
    <row r="11" spans="1:13" ht="18" customHeight="1" x14ac:dyDescent="0.2">
      <c r="A11" s="38" t="s">
        <v>3</v>
      </c>
      <c r="B11" s="20"/>
      <c r="C11" s="20"/>
      <c r="D11" s="20"/>
      <c r="E11" s="20"/>
      <c r="F11" s="20"/>
      <c r="G11" s="20"/>
      <c r="H11" s="20"/>
      <c r="I11" s="20"/>
      <c r="J11" s="20"/>
      <c r="K11" s="20"/>
      <c r="L11" s="20"/>
      <c r="M11" s="21"/>
    </row>
    <row r="12" spans="1:13" ht="18" customHeight="1" x14ac:dyDescent="0.2">
      <c r="A12" s="38" t="s">
        <v>4</v>
      </c>
      <c r="B12" s="22"/>
      <c r="C12" s="22"/>
      <c r="D12" s="22"/>
      <c r="E12" s="22"/>
      <c r="F12" s="22"/>
      <c r="G12" s="22"/>
      <c r="H12" s="22"/>
      <c r="I12" s="22"/>
      <c r="J12" s="20"/>
      <c r="K12" s="20"/>
      <c r="L12" s="20"/>
      <c r="M12" s="21"/>
    </row>
    <row r="13" spans="1:13" ht="18" customHeight="1" x14ac:dyDescent="0.2">
      <c r="A13" s="38" t="s">
        <v>79</v>
      </c>
      <c r="B13" s="24">
        <f>C13*('tertiaire ancienne série'!C6+'tertiaire ancienne série'!C7)/('tertiaire ancienne série'!D6+'tertiaire ancienne série'!D7)</f>
        <v>21.865933766638761</v>
      </c>
      <c r="C13" s="24">
        <f>D13*('tertiaire ancienne série'!D6+'tertiaire ancienne série'!D7)/('tertiaire ancienne série'!E6+'tertiaire ancienne série'!E7)</f>
        <v>33.709981223568093</v>
      </c>
      <c r="D13" s="24">
        <f>E13*('tertiaire ancienne série'!E6+'tertiaire ancienne série'!E7)/('tertiaire ancienne série'!F6+'tertiaire ancienne série'!F7)</f>
        <v>34.621061797178044</v>
      </c>
      <c r="E13" s="24">
        <f>F13*('tertiaire ancienne série'!F6+'tertiaire ancienne série'!F7)/('tertiaire ancienne série'!G6+'tertiaire ancienne série'!G7)-4.2597911+16.76717-E1</f>
        <v>53.753753842986967</v>
      </c>
      <c r="F13" s="24">
        <f>G13*('tertiaire ancienne série'!G6+'tertiaire ancienne série'!G7)/('tertiaire ancienne série'!H6+'tertiaire ancienne série'!H7)-5+6.018919-F1-0.2834871+9.221716</f>
        <v>70.608201173587858</v>
      </c>
      <c r="G13" s="24">
        <f>H13*('tertiaire ancienne série'!H6+'tertiaire ancienne série'!H7)/('tertiaire ancienne série'!I6+'tertiaire ancienne série'!I7)-5-G1+11.2671+1.868625-14.7065</f>
        <v>99.083403862792053</v>
      </c>
      <c r="H13" s="24">
        <f>I13*('tertiaire ancienne série'!I6+'tertiaire ancienne série'!I7)/('tertiaire ancienne série'!J6+'tertiaire ancienne série'!J7)-30-H1-15.090546</f>
        <v>141.51256684046695</v>
      </c>
      <c r="I13" s="24">
        <f>'tertiaire ancienne série'!J6+'tertiaire ancienne série'!J7-40-I1</f>
        <v>217</v>
      </c>
      <c r="J13" s="22">
        <f>'[1]90-2011 88'!$C$71/1000</f>
        <v>253.87911099999999</v>
      </c>
      <c r="K13" s="22">
        <f>'[1]90-2011 88'!$M$71/1000</f>
        <v>261.18169499999999</v>
      </c>
      <c r="L13" s="22">
        <f>'[1]90-2011 88'!$U$71/1000</f>
        <v>354.989754</v>
      </c>
      <c r="M13" s="23">
        <f>'[1]90-2011 88'!$X$71/1000</f>
        <v>367.07970599999999</v>
      </c>
    </row>
    <row r="14" spans="1:13" ht="18" customHeight="1" x14ac:dyDescent="0.2">
      <c r="A14" s="38" t="s">
        <v>83</v>
      </c>
      <c r="B14" s="24">
        <f>C14*'tertiaire ancienne série'!C19/'tertiaire ancienne série'!D19</f>
        <v>37.65643587167596</v>
      </c>
      <c r="C14" s="24">
        <f>D14*'tertiaire ancienne série'!D19/'tertiaire ancienne série'!E19</f>
        <v>52.960655798132493</v>
      </c>
      <c r="D14" s="24">
        <f>E14*'tertiaire ancienne série'!E19/'tertiaire ancienne série'!F19</f>
        <v>56.786710779746628</v>
      </c>
      <c r="E14" s="24">
        <f>F14*'[1]49-2011 (2)'!$H$13/'[1]49-2011 (2)'!$P$13</f>
        <v>70.077217557985193</v>
      </c>
      <c r="F14" s="24">
        <f>G14*'[1]49-2011 (2)'!$P$13/'[1]49-2011 (2)'!$V$13</f>
        <v>81.50703846846784</v>
      </c>
      <c r="G14" s="24">
        <f>H14*'[1]49-2011 (2)'!$V$13/'[1]49-2011 (2)'!$AB$13</f>
        <v>111.16362072946743</v>
      </c>
      <c r="H14" s="24">
        <f>I14*'[1]49-2011 (2)'!$AB$13/'[1]49-2011 (2)'!$AH$13</f>
        <v>144.01223214327518</v>
      </c>
      <c r="I14" s="24">
        <f>J14*'[1]49-2011 (2)'!$AH$13/'[1]49-2011 (2)'!$AR$13-30</f>
        <v>177.64921446507682</v>
      </c>
      <c r="J14" s="22">
        <f>'[1]90-2011 88'!$C$68/1000</f>
        <v>318.119508</v>
      </c>
      <c r="K14" s="22">
        <f>'[1]90-2011 88'!$M$68/1000</f>
        <v>353.68250599999999</v>
      </c>
      <c r="L14" s="22">
        <f>'[1]90-2011 88'!$U$68/1000</f>
        <v>381.37691100000001</v>
      </c>
      <c r="M14" s="23">
        <f>'[1]90-2011 88'!$X$68/1000</f>
        <v>359.60443300000003</v>
      </c>
    </row>
    <row r="15" spans="1:13" ht="18" customHeight="1" x14ac:dyDescent="0.2">
      <c r="A15" s="38" t="s">
        <v>78</v>
      </c>
      <c r="B15" s="24">
        <f>'tertiaire ancienne série'!C9+'tertiaire ancienne série'!C10</f>
        <v>42</v>
      </c>
      <c r="C15" s="24">
        <f>'tertiaire ancienne série'!D9+'tertiaire ancienne série'!D10</f>
        <v>56</v>
      </c>
      <c r="D15" s="24">
        <f>'tertiaire ancienne série'!E9+'tertiaire ancienne série'!E10</f>
        <v>80</v>
      </c>
      <c r="E15" s="24">
        <f>'tertiaire ancienne série'!F9+'tertiaire ancienne série'!F10</f>
        <v>87</v>
      </c>
      <c r="F15" s="24">
        <f>'tertiaire ancienne série'!G9+'tertiaire ancienne série'!G10</f>
        <v>95</v>
      </c>
      <c r="G15" s="24">
        <f>'tertiaire ancienne série'!H9+'tertiaire ancienne série'!H10</f>
        <v>128</v>
      </c>
      <c r="H15" s="24">
        <f>'tertiaire ancienne série'!I9+'tertiaire ancienne série'!I10-H1+1.452036</f>
        <v>154.45203599999999</v>
      </c>
      <c r="I15" s="24">
        <f>'tertiaire ancienne série'!J9+'tertiaire ancienne série'!J10-30</f>
        <v>149</v>
      </c>
      <c r="J15" s="22">
        <f>'[1]90-2011 88'!$C$69/1000</f>
        <v>237.85147800000001</v>
      </c>
      <c r="K15" s="22">
        <f>'[1]90-2011 88'!$M$69/1000</f>
        <v>275.841522</v>
      </c>
      <c r="L15" s="22">
        <f>'[1]90-2011 88'!$U$69/1000</f>
        <v>320.01201700000001</v>
      </c>
      <c r="M15" s="23">
        <f>'[1]90-2011 88'!$X$69/1000</f>
        <v>326.49287500000003</v>
      </c>
    </row>
    <row r="16" spans="1:13" ht="18" customHeight="1" x14ac:dyDescent="0.2">
      <c r="A16" s="38" t="s">
        <v>85</v>
      </c>
      <c r="B16" s="22">
        <f>B13/C13*C16</f>
        <v>31.789247593220328</v>
      </c>
      <c r="C16" s="22">
        <f>C13/D13*D16</f>
        <v>49.008423372881346</v>
      </c>
      <c r="D16" s="22">
        <f>D13/E13*E16</f>
        <v>50.332975355932199</v>
      </c>
      <c r="E16" s="22">
        <f>'[1]49-2011'!$H$36/1000</f>
        <v>78.148567</v>
      </c>
      <c r="F16" s="22">
        <f>'[1]49-2011'!$P$36/1000</f>
        <v>85.489419999999996</v>
      </c>
      <c r="G16" s="22">
        <f>'[1]49-2011'!$V$36/1000</f>
        <v>105.089561</v>
      </c>
      <c r="H16" s="22">
        <f>'[1]49-2011'!$AB$36/1000</f>
        <v>131.624606</v>
      </c>
      <c r="I16" s="22">
        <f>'[1]49-2011'!$AH$36/1000</f>
        <v>162.64141100000001</v>
      </c>
      <c r="J16" s="22">
        <f>'[1]49-2011'!$AR$36/1000</f>
        <v>232.24184599999998</v>
      </c>
      <c r="K16" s="22">
        <f>'[1]49-2011'!$BB$36/1000</f>
        <v>269.42673400000001</v>
      </c>
      <c r="L16" s="22">
        <f>'[1]49-2011'!$BJ$36/1000</f>
        <v>273.93736700000005</v>
      </c>
      <c r="M16" s="23">
        <f>'[1]49-2011'!$BM$36/1000</f>
        <v>261.489215</v>
      </c>
    </row>
    <row r="17" spans="1:13" ht="18" customHeight="1" x14ac:dyDescent="0.2">
      <c r="A17" s="38" t="s">
        <v>81</v>
      </c>
      <c r="B17" s="22">
        <f>C17*B13/C13</f>
        <v>60.611610711864401</v>
      </c>
      <c r="C17" s="22">
        <f>D17*C13/D13</f>
        <v>93.442899847457625</v>
      </c>
      <c r="D17" s="22">
        <f>E17*D13/E13</f>
        <v>95.968383627118641</v>
      </c>
      <c r="E17" s="22">
        <f>'[1]49-2011 (2)'!$H$14/1000</f>
        <v>149.00354300000001</v>
      </c>
      <c r="F17" s="22">
        <f>'[1]49-2011 (2)'!$P$14/1000</f>
        <v>167.09562299999999</v>
      </c>
      <c r="G17" s="22">
        <f>'[1]49-2011 (2)'!$V$14/1000</f>
        <v>182.19765200000001</v>
      </c>
      <c r="H17" s="22">
        <f>'[1]49-2011 (2)'!$AB$14/1000</f>
        <v>214.61189000000002</v>
      </c>
      <c r="I17" s="22">
        <f>'[1]49-2011 (2)'!$AH$14/1000</f>
        <v>264.54257299999995</v>
      </c>
      <c r="J17" s="22">
        <f>'[1]49-2011 (2)'!$AR$14/1000</f>
        <v>354.35597799999999</v>
      </c>
      <c r="K17" s="22">
        <f>'[1]49-2011 (2)'!$BB$14/1000</f>
        <v>381.55860600000005</v>
      </c>
      <c r="L17" s="22">
        <f>'[1]49-2011 (2)'!$BJ$14/1000</f>
        <v>421.10679999999996</v>
      </c>
      <c r="M17" s="23">
        <f>'[1]49-2011 (2)'!$BM$14/1000</f>
        <v>442.942837</v>
      </c>
    </row>
    <row r="18" spans="1:13" ht="18" customHeight="1" x14ac:dyDescent="0.2">
      <c r="A18" s="38" t="s">
        <v>82</v>
      </c>
      <c r="B18" s="22">
        <f>C18*'tertiaire ancienne série'!C19/'tertiaire ancienne série'!D19</f>
        <v>169.92489834770114</v>
      </c>
      <c r="C18" s="22">
        <f>D18*'tertiaire ancienne série'!D19/'tertiaire ancienne série'!E19</f>
        <v>238.98528484195401</v>
      </c>
      <c r="D18" s="22">
        <f>E18*'tertiaire ancienne série'!E19/'tertiaire ancienne série'!F19</f>
        <v>256.25038146551725</v>
      </c>
      <c r="E18" s="22">
        <f>'[1]49-2011 (2)'!$H$16/1000</f>
        <v>316.22387500000002</v>
      </c>
      <c r="F18" s="22">
        <f>'[1]49-2011 (2)'!$P$16/1000</f>
        <v>370.97709600000002</v>
      </c>
      <c r="G18" s="22">
        <f>'[1]49-2011 (2)'!$V$16/1000</f>
        <v>478.56897600000002</v>
      </c>
      <c r="H18" s="22">
        <f>'[1]49-2011 (2)'!$AB$16/1000</f>
        <v>613.97867500000007</v>
      </c>
      <c r="I18" s="22">
        <f>'[1]49-2011 (2)'!$AH$16/1000</f>
        <v>766.60226699999998</v>
      </c>
      <c r="J18" s="22">
        <f>'[1]49-2011 (2)'!$AR$16/1000</f>
        <v>1078.6162979999999</v>
      </c>
      <c r="K18" s="22">
        <f>'[1]49-2011 (2)'!$BB$16/1000</f>
        <v>1783.2189519999999</v>
      </c>
      <c r="L18" s="22">
        <f>'[1]49-2011 (2)'!$BJ$16/1000</f>
        <v>2043.489026</v>
      </c>
      <c r="M18" s="23">
        <f>'[1]49-2011 (2)'!$BM$16/1000</f>
        <v>2031.2657790000001</v>
      </c>
    </row>
    <row r="19" spans="1:13" ht="18" customHeight="1" x14ac:dyDescent="0.2">
      <c r="A19" s="38" t="s">
        <v>94</v>
      </c>
      <c r="B19" s="25">
        <f t="shared" ref="B19:M19" si="1">SUM(B13:B18)</f>
        <v>363.84812629110058</v>
      </c>
      <c r="C19" s="25">
        <f t="shared" si="1"/>
        <v>524.10724508399358</v>
      </c>
      <c r="D19" s="25">
        <f t="shared" si="1"/>
        <v>573.9595130254927</v>
      </c>
      <c r="E19" s="25">
        <f t="shared" si="1"/>
        <v>754.20695640097222</v>
      </c>
      <c r="F19" s="25">
        <f t="shared" si="1"/>
        <v>870.67737864205571</v>
      </c>
      <c r="G19" s="25">
        <f t="shared" si="1"/>
        <v>1104.1032135922596</v>
      </c>
      <c r="H19" s="25">
        <f t="shared" si="1"/>
        <v>1400.1920059837421</v>
      </c>
      <c r="I19" s="25">
        <f t="shared" si="1"/>
        <v>1737.4354654650767</v>
      </c>
      <c r="J19" s="25">
        <f t="shared" si="1"/>
        <v>2475.0642189999999</v>
      </c>
      <c r="K19" s="25">
        <f t="shared" si="1"/>
        <v>3324.9100150000004</v>
      </c>
      <c r="L19" s="25">
        <f t="shared" si="1"/>
        <v>3794.9118749999998</v>
      </c>
      <c r="M19" s="26">
        <f t="shared" si="1"/>
        <v>3788.8748450000003</v>
      </c>
    </row>
    <row r="20" spans="1:13" ht="18" customHeight="1" x14ac:dyDescent="0.2">
      <c r="A20" s="38"/>
      <c r="B20" s="22"/>
      <c r="C20" s="22"/>
      <c r="D20" s="22"/>
      <c r="E20" s="22"/>
      <c r="F20" s="22"/>
      <c r="G20" s="22"/>
      <c r="H20" s="22"/>
      <c r="I20" s="22"/>
      <c r="J20" s="20"/>
      <c r="K20" s="20"/>
      <c r="L20" s="20"/>
      <c r="M20" s="21"/>
    </row>
    <row r="21" spans="1:13" ht="18" customHeight="1" x14ac:dyDescent="0.2">
      <c r="A21" s="38" t="s">
        <v>66</v>
      </c>
      <c r="B21" s="24"/>
      <c r="C21" s="24"/>
      <c r="D21" s="24"/>
      <c r="E21" s="24">
        <f>'[1]49-2011'!H29/1000</f>
        <v>71.401776999999996</v>
      </c>
      <c r="F21" s="24">
        <f>'[1]49-2011'!P29/1000</f>
        <v>89.447642999999999</v>
      </c>
      <c r="G21" s="24">
        <f>'[1]49-2011'!V29/1000</f>
        <v>101.75206900000001</v>
      </c>
      <c r="H21" s="24">
        <f>'[1]49-2011'!AB29/1000</f>
        <v>121.253765</v>
      </c>
      <c r="I21" s="24">
        <f>'[1]49-2011'!AH29/1000</f>
        <v>132.647671</v>
      </c>
      <c r="J21" s="24">
        <f>'[1]49-2011'!AR29/1000</f>
        <v>169.35857999999999</v>
      </c>
      <c r="K21" s="24">
        <f>'[1]49-2011'!BB29/1000</f>
        <v>205.68831599999999</v>
      </c>
      <c r="L21" s="24">
        <f>'[1]49-2011'!BJ29/1000</f>
        <v>217.00273199999998</v>
      </c>
      <c r="M21" s="27">
        <f>'[1]49-2011'!BM29/1000</f>
        <v>212.07081500000001</v>
      </c>
    </row>
    <row r="22" spans="1:13" ht="18" customHeight="1" x14ac:dyDescent="0.2">
      <c r="A22" s="38" t="s">
        <v>67</v>
      </c>
      <c r="B22" s="24"/>
      <c r="C22" s="24"/>
      <c r="D22" s="24"/>
      <c r="E22" s="24">
        <f>'[1]49-2011'!H30/1000</f>
        <v>75.016960999999995</v>
      </c>
      <c r="F22" s="24">
        <f>'[1]49-2011'!P30/1000</f>
        <v>94.776857000000007</v>
      </c>
      <c r="G22" s="24">
        <f>'[1]49-2011'!V30/1000</f>
        <v>113.63957600000001</v>
      </c>
      <c r="H22" s="24">
        <f>'[1]49-2011'!AB30/1000</f>
        <v>129.734037</v>
      </c>
      <c r="I22" s="24">
        <f>'[1]49-2011'!AH30/1000</f>
        <v>150.48340400000001</v>
      </c>
      <c r="J22" s="24">
        <f>'[1]49-2011'!AR30/1000</f>
        <v>157.60992800000002</v>
      </c>
      <c r="K22" s="24">
        <f>'[1]49-2011'!BB30/1000</f>
        <v>165.56948800000001</v>
      </c>
      <c r="L22" s="24">
        <f>'[1]49-2011'!BJ30/1000</f>
        <v>147.502443</v>
      </c>
      <c r="M22" s="27">
        <f>'[1]49-2011'!BM30/1000</f>
        <v>136.29856799999999</v>
      </c>
    </row>
    <row r="23" spans="1:13" ht="18" customHeight="1" x14ac:dyDescent="0.2">
      <c r="A23" s="38" t="s">
        <v>68</v>
      </c>
      <c r="B23" s="24"/>
      <c r="C23" s="24"/>
      <c r="D23" s="24"/>
      <c r="E23" s="24">
        <f>'[1]49-2011'!H31/1000</f>
        <v>55.148949000000002</v>
      </c>
      <c r="F23" s="24">
        <f>'[1]49-2011'!P31/1000</f>
        <v>65.854563999999996</v>
      </c>
      <c r="G23" s="24">
        <f>'[1]49-2011'!V31/1000</f>
        <v>87.448064000000002</v>
      </c>
      <c r="H23" s="24">
        <f>'[1]49-2011'!AB31/1000</f>
        <v>114.51815300000001</v>
      </c>
      <c r="I23" s="24">
        <f>'[1]49-2011'!AH31/1000</f>
        <v>142.76954199999997</v>
      </c>
      <c r="J23" s="24">
        <f>'[1]49-2011'!AR31/1000</f>
        <v>219.20100299999999</v>
      </c>
      <c r="K23" s="24">
        <f>'[1]49-2011'!BB31/1000</f>
        <v>365.908523</v>
      </c>
      <c r="L23" s="24">
        <f>'[1]49-2011'!BJ31/1000</f>
        <v>435.43965600000001</v>
      </c>
      <c r="M23" s="27">
        <f>'[1]49-2011'!BM31/1000</f>
        <v>442.56049300000001</v>
      </c>
    </row>
    <row r="24" spans="1:13" ht="18" customHeight="1" x14ac:dyDescent="0.2">
      <c r="A24" s="42" t="s">
        <v>69</v>
      </c>
      <c r="B24" s="43">
        <v>100</v>
      </c>
      <c r="C24" s="43">
        <v>148</v>
      </c>
      <c r="D24" s="43">
        <v>161</v>
      </c>
      <c r="E24" s="43">
        <f t="shared" ref="E24:M24" si="2">SUM(E21:E23)</f>
        <v>201.56768699999998</v>
      </c>
      <c r="F24" s="43">
        <f t="shared" si="2"/>
        <v>250.07906400000002</v>
      </c>
      <c r="G24" s="43">
        <f t="shared" si="2"/>
        <v>302.83970900000003</v>
      </c>
      <c r="H24" s="43">
        <f t="shared" si="2"/>
        <v>365.50595499999997</v>
      </c>
      <c r="I24" s="43">
        <f t="shared" si="2"/>
        <v>425.90061700000001</v>
      </c>
      <c r="J24" s="43">
        <f t="shared" si="2"/>
        <v>546.16951100000006</v>
      </c>
      <c r="K24" s="43">
        <f t="shared" si="2"/>
        <v>737.16632699999991</v>
      </c>
      <c r="L24" s="43">
        <f t="shared" si="2"/>
        <v>799.94483100000002</v>
      </c>
      <c r="M24" s="44">
        <f t="shared" si="2"/>
        <v>790.92987599999992</v>
      </c>
    </row>
    <row r="25" spans="1:13" ht="18" customHeight="1" x14ac:dyDescent="0.2">
      <c r="A25" s="38"/>
      <c r="B25" s="22"/>
      <c r="C25" s="22"/>
      <c r="D25" s="22"/>
      <c r="E25" s="22"/>
      <c r="F25" s="22"/>
      <c r="G25" s="22"/>
      <c r="H25" s="22"/>
      <c r="I25" s="22"/>
      <c r="J25" s="20"/>
      <c r="K25" s="20"/>
      <c r="L25" s="20"/>
      <c r="M25" s="21"/>
    </row>
    <row r="26" spans="1:13" ht="18" customHeight="1" x14ac:dyDescent="0.2">
      <c r="A26" s="38" t="s">
        <v>16</v>
      </c>
      <c r="B26" s="22">
        <f>C26*'tertiaire ancienne série'!C20/'tertiaire ancienne série'!D20</f>
        <v>543.86114199600786</v>
      </c>
      <c r="C26" s="22">
        <f>D26*'tertiaire ancienne série'!D20/'tertiaire ancienne série'!E20</f>
        <v>507.26487823552884</v>
      </c>
      <c r="D26" s="22">
        <f>E26*'tertiaire ancienne série'!E20/'tertiaire ancienne série'!F20</f>
        <v>558.09302234730535</v>
      </c>
      <c r="E26" s="22">
        <f>'[1]49-2011 (2)'!$H$7/1000</f>
        <v>509.29800399999999</v>
      </c>
      <c r="F26" s="22">
        <f>'[1]49-2011 (2)'!$P$7/1000</f>
        <v>542.42024600000002</v>
      </c>
      <c r="G26" s="22">
        <f>'[1]49-2011 (2)'!$V$7/1000</f>
        <v>561.495901</v>
      </c>
      <c r="H26" s="22">
        <f>'[1]49-2011 (2)'!$AB$7/1000</f>
        <v>606.61013500000001</v>
      </c>
      <c r="I26" s="22">
        <f>'[1]49-2011 (2)'!$AH$7/1000</f>
        <v>602.70773299999996</v>
      </c>
      <c r="J26" s="22">
        <f>'[1]49-2011 (2)'!$AR$7/1000</f>
        <v>783.28695400000004</v>
      </c>
      <c r="K26" s="22">
        <f>'[1]49-2011 (2)'!$BB$7/1000</f>
        <v>934.55369900000005</v>
      </c>
      <c r="L26" s="22">
        <f>'[1]49-2011 (2)'!$BJ$7/1000</f>
        <v>1068.7797919999998</v>
      </c>
      <c r="M26" s="23">
        <f>'[1]49-2011 (2)'!$BM$7/1000</f>
        <v>1143.9708189999999</v>
      </c>
    </row>
    <row r="27" spans="1:13" ht="18" customHeight="1" x14ac:dyDescent="0.2">
      <c r="A27" s="38"/>
      <c r="B27" s="22"/>
      <c r="C27" s="22"/>
      <c r="D27" s="22"/>
      <c r="E27" s="22"/>
      <c r="F27" s="22"/>
      <c r="G27" s="22"/>
      <c r="H27" s="22"/>
      <c r="I27" s="22"/>
      <c r="J27" s="20"/>
      <c r="K27" s="20"/>
      <c r="L27" s="20"/>
      <c r="M27" s="21"/>
    </row>
    <row r="28" spans="1:13" ht="18" customHeight="1" x14ac:dyDescent="0.2">
      <c r="A28" s="38" t="s">
        <v>3</v>
      </c>
      <c r="B28" s="22"/>
      <c r="C28" s="22"/>
      <c r="D28" s="22"/>
      <c r="E28" s="22"/>
      <c r="F28" s="22"/>
      <c r="G28" s="22"/>
      <c r="H28" s="22"/>
      <c r="I28" s="22"/>
      <c r="J28" s="20"/>
      <c r="K28" s="20"/>
      <c r="L28" s="20"/>
      <c r="M28" s="21"/>
    </row>
    <row r="29" spans="1:13" ht="18" customHeight="1" x14ac:dyDescent="0.2">
      <c r="A29" s="38" t="s">
        <v>18</v>
      </c>
      <c r="B29" s="22"/>
      <c r="C29" s="22"/>
      <c r="D29" s="22"/>
      <c r="E29" s="22"/>
      <c r="F29" s="22"/>
      <c r="G29" s="22"/>
      <c r="H29" s="22"/>
      <c r="I29" s="22"/>
      <c r="J29" s="20"/>
      <c r="K29" s="20"/>
      <c r="L29" s="20"/>
      <c r="M29" s="21"/>
    </row>
    <row r="30" spans="1:13" ht="18" customHeight="1" x14ac:dyDescent="0.2">
      <c r="A30" s="38" t="s">
        <v>19</v>
      </c>
      <c r="B30" s="24">
        <f>C30*'tertiaire ancienne série'!C24/'tertiaire ancienne série'!D24</f>
        <v>249.98986329545457</v>
      </c>
      <c r="C30" s="24">
        <f>D30*'tertiaire ancienne série'!D24/'tertiaire ancienne série'!E24</f>
        <v>364.5685506392046</v>
      </c>
      <c r="D30" s="24">
        <f>E30*'tertiaire ancienne série'!E24/'tertiaire ancienne série'!F24</f>
        <v>472.89749140056824</v>
      </c>
      <c r="E30" s="24">
        <f>'[1]49-2011 (2)'!$H$19/1000</f>
        <v>733.30359900000008</v>
      </c>
      <c r="F30" s="24">
        <f>'[1]49-2011 (2)'!$P$19/1000</f>
        <v>830.55777999999998</v>
      </c>
      <c r="G30" s="24">
        <f>'[1]49-2011 (2)'!$V$19/1000</f>
        <v>934.37284399999999</v>
      </c>
      <c r="H30" s="24">
        <f>'[1]49-2011 (2)'!$AB$19/1000</f>
        <v>1076.1199779999999</v>
      </c>
      <c r="I30" s="24">
        <f>'[1]49-2011 (2)'!$AH$19/1000</f>
        <v>1241.4690949999999</v>
      </c>
      <c r="J30" s="24">
        <f>'[1]49-2011 (2)'!$AR$19/1000</f>
        <v>1547.1563449999999</v>
      </c>
      <c r="K30" s="24">
        <f>'[1]49-2011 (2)'!$BB$19/1000</f>
        <v>1535.7806889999999</v>
      </c>
      <c r="L30" s="24">
        <f>'[1]49-2011 (2)'!$BJ$19/1000</f>
        <v>1717.0454199999999</v>
      </c>
      <c r="M30" s="27">
        <f>'[1]49-2011 (2)'!$BM$19/1000</f>
        <v>1784.753817</v>
      </c>
    </row>
    <row r="31" spans="1:13" ht="18" customHeight="1" x14ac:dyDescent="0.2">
      <c r="A31" s="38" t="s">
        <v>21</v>
      </c>
      <c r="B31" s="24">
        <f>C31*'tertiaire ancienne série'!C26/'tertiaire ancienne série'!D26</f>
        <v>212.75229915</v>
      </c>
      <c r="C31" s="24">
        <f>D31*'tertiaire ancienne série'!D26/'tertiaire ancienne série'!E26</f>
        <v>307.30887654999998</v>
      </c>
      <c r="D31" s="24">
        <f>E31*'tertiaire ancienne série'!E26/'tertiaire ancienne série'!F26</f>
        <v>378.22630959999998</v>
      </c>
      <c r="E31" s="24">
        <f>'[1]49-2011 (2)'!$H$20/1000</f>
        <v>472.78288699999996</v>
      </c>
      <c r="F31" s="24">
        <f>'[1]49-2011 (2)'!$P$20/1000</f>
        <v>556.15703000000008</v>
      </c>
      <c r="G31" s="24">
        <f>'[1]49-2011 (2)'!$V$20/1000</f>
        <v>608.46192000000008</v>
      </c>
      <c r="H31" s="24">
        <f>'[1]49-2011 (2)'!$AB$20/1000</f>
        <v>679.66355199999998</v>
      </c>
      <c r="I31" s="24">
        <f>'[1]49-2011 (2)'!$AH$20/1000</f>
        <v>746.81193200000007</v>
      </c>
      <c r="J31" s="24">
        <f>'[1]49-2011 (2)'!$AR$20/1000</f>
        <v>908.02042799999992</v>
      </c>
      <c r="K31" s="24">
        <f>'[1]49-2011 (2)'!$BB$20/1000</f>
        <v>1552.3790549999999</v>
      </c>
      <c r="L31" s="24">
        <f>'[1]49-2011 (2)'!$BJ$20/1000</f>
        <v>1770.215455</v>
      </c>
      <c r="M31" s="27">
        <f>'[1]49-2011 (2)'!$BM$20/1000</f>
        <v>1899.222125</v>
      </c>
    </row>
    <row r="32" spans="1:13" ht="18" customHeight="1" x14ac:dyDescent="0.2">
      <c r="A32" s="38" t="s">
        <v>77</v>
      </c>
      <c r="B32" s="24">
        <f>C32*'tertiaire ancienne série'!C35/'tertiaire ancienne série'!D35-53</f>
        <v>610.7944702047871</v>
      </c>
      <c r="C32" s="24">
        <f>D32*'tertiaire ancienne série'!D35/'tertiaire ancienne série'!E35</f>
        <v>514.18652615425526</v>
      </c>
      <c r="D32" s="24">
        <f>E32*'tertiaire ancienne série'!E35/'tertiaire ancienne série'!F35</f>
        <v>586.81174171276587</v>
      </c>
      <c r="E32" s="24">
        <f>'[1]49-2011 (2)'!$H$22/1000</f>
        <v>546.14162099999999</v>
      </c>
      <c r="F32" s="24">
        <f>'[1]49-2011 (2)'!$P$22/1000</f>
        <v>521.88239499999997</v>
      </c>
      <c r="G32" s="24">
        <f>'[1]49-2011 (2)'!$V$22/1000</f>
        <v>507.95197999999999</v>
      </c>
      <c r="H32" s="24">
        <f>'[1]49-2011 (2)'!$AB$22/1000</f>
        <v>487.46685600000001</v>
      </c>
      <c r="I32" s="24">
        <f>'[1]49-2011 (2)'!$AH$22/1000</f>
        <v>482.97044300000005</v>
      </c>
      <c r="J32" s="24">
        <f>'[1]49-2011 (2)'!$AR$22/1000</f>
        <v>520.16201999999998</v>
      </c>
      <c r="K32" s="24">
        <f>'[1]49-2011 (2)'!$BB$22/1000</f>
        <v>803.49402800000007</v>
      </c>
      <c r="L32" s="24">
        <f>'[1]49-2011 (2)'!$BJ$22/1000</f>
        <v>690.03117899999995</v>
      </c>
      <c r="M32" s="27">
        <f>'[1]49-2011 (2)'!$BM$22/1000</f>
        <v>727.79730799999993</v>
      </c>
    </row>
    <row r="33" spans="1:13" ht="18" customHeight="1" x14ac:dyDescent="0.2">
      <c r="A33" s="38" t="s">
        <v>86</v>
      </c>
      <c r="B33" s="24">
        <f>C33*B32/C32</f>
        <v>140.01332477449873</v>
      </c>
      <c r="C33" s="24">
        <f>D33*C32/D32</f>
        <v>117.86774208510637</v>
      </c>
      <c r="D33" s="24">
        <f>E33*D32/E32</f>
        <v>134.51572825531912</v>
      </c>
      <c r="E33" s="24">
        <f>'[1]49-2011 (2)'!$H$21/1000</f>
        <v>125.19285600000001</v>
      </c>
      <c r="F33" s="24">
        <f>'[1]49-2011 (2)'!$P$21/1000</f>
        <v>143.62457599999999</v>
      </c>
      <c r="G33" s="24">
        <f>'[1]49-2011 (2)'!$V$21/1000</f>
        <v>160.03877</v>
      </c>
      <c r="H33" s="24">
        <f>'[1]49-2011 (2)'!$AB$21/1000</f>
        <v>199.63588200000001</v>
      </c>
      <c r="I33" s="24">
        <f>'[1]49-2011 (2)'!$AH$21/1000</f>
        <v>229.43494699999999</v>
      </c>
      <c r="J33" s="24">
        <f>'[1]49-2011 (2)'!$AR$21/1000</f>
        <v>295.12589700000001</v>
      </c>
      <c r="K33" s="24">
        <f>'[1]49-2011 (2)'!$BB$21/1000</f>
        <v>416.47347100000002</v>
      </c>
      <c r="L33" s="24">
        <f>'[1]49-2011 (2)'!$BJ$21/1000</f>
        <v>531.98598100000004</v>
      </c>
      <c r="M33" s="27">
        <f>'[1]49-2011 (2)'!$BM$21/1000</f>
        <v>565.65884300000005</v>
      </c>
    </row>
    <row r="34" spans="1:13" ht="18" customHeight="1" x14ac:dyDescent="0.2">
      <c r="A34" s="38" t="s">
        <v>95</v>
      </c>
      <c r="B34" s="24">
        <f t="shared" ref="B34:M34" si="3">B30+B31+B32+B33</f>
        <v>1213.5499574247403</v>
      </c>
      <c r="C34" s="24">
        <f t="shared" si="3"/>
        <v>1303.9316954285662</v>
      </c>
      <c r="D34" s="24">
        <f t="shared" si="3"/>
        <v>1572.4512709686533</v>
      </c>
      <c r="E34" s="24">
        <f t="shared" si="3"/>
        <v>1877.420963</v>
      </c>
      <c r="F34" s="24">
        <f t="shared" si="3"/>
        <v>2052.2217810000002</v>
      </c>
      <c r="G34" s="24">
        <f t="shared" si="3"/>
        <v>2210.8255140000001</v>
      </c>
      <c r="H34" s="24">
        <f t="shared" si="3"/>
        <v>2442.8862679999997</v>
      </c>
      <c r="I34" s="24">
        <f t="shared" si="3"/>
        <v>2700.6864170000003</v>
      </c>
      <c r="J34" s="24">
        <f t="shared" si="3"/>
        <v>3270.4646899999998</v>
      </c>
      <c r="K34" s="24">
        <f t="shared" si="3"/>
        <v>4308.1272429999999</v>
      </c>
      <c r="L34" s="24">
        <f t="shared" si="3"/>
        <v>4709.2780349999994</v>
      </c>
      <c r="M34" s="27">
        <f t="shared" si="3"/>
        <v>4977.4320930000004</v>
      </c>
    </row>
    <row r="35" spans="1:13" ht="18" customHeight="1" x14ac:dyDescent="0.2">
      <c r="A35" s="38"/>
      <c r="B35" s="24"/>
      <c r="C35" s="24"/>
      <c r="D35" s="24"/>
      <c r="E35" s="24"/>
      <c r="F35" s="24"/>
      <c r="G35" s="24"/>
      <c r="H35" s="24"/>
      <c r="I35" s="24"/>
      <c r="J35" s="20"/>
      <c r="K35" s="20"/>
      <c r="L35" s="20"/>
      <c r="M35" s="21"/>
    </row>
    <row r="36" spans="1:13" ht="18" customHeight="1" x14ac:dyDescent="0.2">
      <c r="A36" s="42" t="s">
        <v>62</v>
      </c>
      <c r="B36" s="43">
        <f>B9+B19+B34+B26+B24</f>
        <v>2253.5902167832774</v>
      </c>
      <c r="C36" s="43">
        <f t="shared" ref="C36:M36" si="4">C9+C19+C34+C26+C24</f>
        <v>2573.8305937480886</v>
      </c>
      <c r="D36" s="43">
        <f t="shared" si="4"/>
        <v>2956.0305813414516</v>
      </c>
      <c r="E36" s="43">
        <f t="shared" si="4"/>
        <v>3433.0203854009724</v>
      </c>
      <c r="F36" s="43">
        <f t="shared" si="4"/>
        <v>3822.636469642056</v>
      </c>
      <c r="G36" s="43">
        <f t="shared" si="4"/>
        <v>4330.1797455922597</v>
      </c>
      <c r="H36" s="43">
        <f t="shared" si="4"/>
        <v>5018.5534709837411</v>
      </c>
      <c r="I36" s="43">
        <f t="shared" si="4"/>
        <v>5715.1970304650777</v>
      </c>
      <c r="J36" s="43">
        <f t="shared" si="4"/>
        <v>7393.1048819999996</v>
      </c>
      <c r="K36" s="43">
        <f t="shared" si="4"/>
        <v>9658.4397900000004</v>
      </c>
      <c r="L36" s="43">
        <f t="shared" si="4"/>
        <v>10754.291444</v>
      </c>
      <c r="M36" s="45">
        <f t="shared" si="4"/>
        <v>11060.812066000002</v>
      </c>
    </row>
    <row r="37" spans="1:13" ht="18" customHeight="1" x14ac:dyDescent="0.2">
      <c r="A37" s="38"/>
      <c r="B37" s="22"/>
      <c r="C37" s="22"/>
      <c r="D37" s="22"/>
      <c r="E37" s="22"/>
      <c r="F37" s="22"/>
      <c r="G37" s="22"/>
      <c r="H37" s="22"/>
      <c r="I37" s="22"/>
      <c r="J37" s="20"/>
      <c r="K37" s="20"/>
      <c r="L37" s="20"/>
      <c r="M37" s="21"/>
    </row>
    <row r="38" spans="1:13" ht="18" customHeight="1" x14ac:dyDescent="0.2">
      <c r="A38" s="38"/>
      <c r="B38" s="22"/>
      <c r="C38" s="22"/>
      <c r="D38" s="22"/>
      <c r="E38" s="22"/>
      <c r="F38" s="22"/>
      <c r="G38" s="22"/>
      <c r="H38" s="22"/>
      <c r="I38" s="22"/>
      <c r="J38" s="20"/>
      <c r="K38" s="20"/>
      <c r="L38" s="20"/>
      <c r="M38" s="21"/>
    </row>
    <row r="39" spans="1:13" ht="18" customHeight="1" x14ac:dyDescent="0.2">
      <c r="A39" s="38" t="s">
        <v>75</v>
      </c>
      <c r="B39" s="22"/>
      <c r="C39" s="22"/>
      <c r="D39" s="22"/>
      <c r="E39" s="22"/>
      <c r="F39" s="22"/>
      <c r="G39" s="22"/>
      <c r="H39" s="22"/>
      <c r="I39" s="22"/>
      <c r="J39" s="20"/>
      <c r="K39" s="20"/>
      <c r="L39" s="20"/>
      <c r="M39" s="21"/>
    </row>
    <row r="40" spans="1:13" ht="18" customHeight="1" x14ac:dyDescent="0.2">
      <c r="A40" s="38" t="s">
        <v>89</v>
      </c>
      <c r="B40" s="24">
        <f>C40*'tertiaire ancienne série'!C39/'tertiaire ancienne série'!D39+53</f>
        <v>226.13289635514997</v>
      </c>
      <c r="C40" s="24">
        <f>D40*'tertiaire ancienne série'!D39/'tertiaire ancienne série'!E39+20</f>
        <v>142.45111725423732</v>
      </c>
      <c r="D40" s="24">
        <f>E40*'tertiaire ancienne série'!E39/'tertiaire ancienne série'!F39</f>
        <v>119.15435640508476</v>
      </c>
      <c r="E40" s="24">
        <f>'[1]49-2011 (2)'!$H$23/1000</f>
        <v>92.623281000000006</v>
      </c>
      <c r="F40" s="24">
        <f>'[1]49-2011 (2)'!$P$23/1000</f>
        <v>85.144770999999992</v>
      </c>
      <c r="G40" s="24">
        <f>'[1]49-2011 (2)'!$V$23/1000</f>
        <v>80.408426000000006</v>
      </c>
      <c r="H40" s="24">
        <f>'[1]49-2011 (2)'!$AB$23/1000</f>
        <v>68.959032000000008</v>
      </c>
      <c r="I40" s="24">
        <f>'[1]49-2011 (2)'!$AH$23/1000</f>
        <v>53.002969999999998</v>
      </c>
      <c r="J40" s="24">
        <f>'[1]49-2011 (2)'!$AR$23/1000</f>
        <v>60.730624000000006</v>
      </c>
      <c r="K40" s="24">
        <f>'[1]49-2011 (2)'!$BB$23/1000</f>
        <v>119.86874300000001</v>
      </c>
      <c r="L40" s="24">
        <f>'[1]49-2011 (2)'!$BJ$23/1000</f>
        <v>173.17929800000002</v>
      </c>
      <c r="M40" s="27">
        <f>'[1]49-2011 (2)'!$BM$23/1000</f>
        <v>167.59139999999999</v>
      </c>
    </row>
    <row r="41" spans="1:13" ht="18" customHeight="1" x14ac:dyDescent="0.2">
      <c r="A41" s="38" t="s">
        <v>90</v>
      </c>
      <c r="B41" s="24"/>
      <c r="C41" s="24"/>
      <c r="D41" s="24"/>
      <c r="E41" s="24"/>
      <c r="F41" s="24"/>
      <c r="G41" s="24"/>
      <c r="H41" s="24"/>
      <c r="I41" s="24"/>
      <c r="J41" s="20"/>
      <c r="K41" s="20"/>
      <c r="L41" s="20"/>
      <c r="M41" s="21"/>
    </row>
    <row r="42" spans="1:13" ht="18" customHeight="1" x14ac:dyDescent="0.2">
      <c r="A42" s="38"/>
      <c r="B42" s="24"/>
      <c r="C42" s="24"/>
      <c r="D42" s="24"/>
      <c r="E42" s="24"/>
      <c r="F42" s="24"/>
      <c r="G42" s="24"/>
      <c r="H42" s="24"/>
      <c r="I42" s="24"/>
      <c r="J42" s="20"/>
      <c r="K42" s="20"/>
      <c r="L42" s="20"/>
      <c r="M42" s="21"/>
    </row>
    <row r="43" spans="1:13" ht="18" customHeight="1" x14ac:dyDescent="0.2">
      <c r="A43" s="38" t="s">
        <v>32</v>
      </c>
      <c r="B43" s="24">
        <f>C43*'tertiaire ancienne série'!C40/'tertiaire ancienne série'!D40</f>
        <v>1459.937005012742</v>
      </c>
      <c r="C43" s="24">
        <f>D43*'tertiaire ancienne série'!D40/'tertiaire ancienne série'!E40+153</f>
        <v>1338.7346876154577</v>
      </c>
      <c r="D43" s="24">
        <f>'tertiaire ancienne série'!E40/'tertiaire ancienne série'!F40*'calcul intermédiaire2'!E43+200</f>
        <v>1451.6710681711879</v>
      </c>
      <c r="E43" s="24">
        <f t="shared" ref="E43:M43" si="5">E45+E46</f>
        <v>2248.8006249999999</v>
      </c>
      <c r="F43" s="24">
        <f t="shared" si="5"/>
        <v>2473.8239720000001</v>
      </c>
      <c r="G43" s="24">
        <f t="shared" si="5"/>
        <v>2535.7553539999999</v>
      </c>
      <c r="H43" s="24">
        <f t="shared" si="5"/>
        <v>2887.4748730000001</v>
      </c>
      <c r="I43" s="24">
        <f t="shared" si="5"/>
        <v>3301.4014310000002</v>
      </c>
      <c r="J43" s="24">
        <f t="shared" si="5"/>
        <v>3922.574541</v>
      </c>
      <c r="K43" s="24">
        <f t="shared" si="5"/>
        <v>4341.6678570000004</v>
      </c>
      <c r="L43" s="24">
        <f t="shared" si="5"/>
        <v>4359.3818369999999</v>
      </c>
      <c r="M43" s="27">
        <f t="shared" si="5"/>
        <v>4224.8768849999997</v>
      </c>
    </row>
    <row r="44" spans="1:13" ht="18" customHeight="1" x14ac:dyDescent="0.2">
      <c r="A44" s="38" t="s">
        <v>33</v>
      </c>
      <c r="B44" s="24"/>
      <c r="C44" s="24"/>
      <c r="D44" s="24"/>
      <c r="E44" s="24"/>
      <c r="F44" s="24"/>
      <c r="G44" s="24"/>
      <c r="H44" s="24"/>
      <c r="I44" s="24"/>
      <c r="J44" s="20"/>
      <c r="K44" s="20"/>
      <c r="L44" s="20"/>
      <c r="M44" s="21"/>
    </row>
    <row r="45" spans="1:13" ht="18" customHeight="1" x14ac:dyDescent="0.2">
      <c r="A45" s="38" t="s">
        <v>73</v>
      </c>
      <c r="B45" s="24"/>
      <c r="C45" s="24"/>
      <c r="D45" s="24"/>
      <c r="E45" s="24">
        <f>'[1]49-2011 (2)'!$H$17/1000</f>
        <v>1412.3765100000001</v>
      </c>
      <c r="F45" s="24">
        <f>'[1]49-2011 (2)'!$P$17/1000</f>
        <v>1514.331463</v>
      </c>
      <c r="G45" s="24">
        <f>'[1]49-2011 (2)'!$V$17/1000</f>
        <v>1488.622744</v>
      </c>
      <c r="H45" s="24">
        <f>'[1]49-2011 (2)'!$AB$17/1000</f>
        <v>1705.9640300000001</v>
      </c>
      <c r="I45" s="24">
        <f>'[1]49-2011 (2)'!$AH$17/1000</f>
        <v>1949.1654920000001</v>
      </c>
      <c r="J45" s="24">
        <f>'[1]49-2011 (2)'!$AR$17/1000</f>
        <v>2265.2332059999999</v>
      </c>
      <c r="K45" s="24">
        <f>'[1]49-2011 (2)'!$BB$17/1000</f>
        <v>2496.3279810000004</v>
      </c>
      <c r="L45" s="24">
        <f>'[1]49-2011 (2)'!$BJ$17/1000</f>
        <v>2483.374503</v>
      </c>
      <c r="M45" s="27">
        <f>'[1]49-2011 (2)'!$BM$17/1000</f>
        <v>2386.7357019999999</v>
      </c>
    </row>
    <row r="46" spans="1:13" ht="18" customHeight="1" x14ac:dyDescent="0.2">
      <c r="A46" s="38" t="s">
        <v>72</v>
      </c>
      <c r="B46" s="24"/>
      <c r="C46" s="24"/>
      <c r="D46" s="24"/>
      <c r="E46" s="24">
        <f>'[1]49-2011 (2)'!$H$18/1000</f>
        <v>836.42411500000003</v>
      </c>
      <c r="F46" s="24">
        <f>'[1]49-2011 (2)'!$P$18/1000</f>
        <v>959.49250899999993</v>
      </c>
      <c r="G46" s="24">
        <f>'[1]49-2011 (2)'!$V$18/1000</f>
        <v>1047.1326099999999</v>
      </c>
      <c r="H46" s="24">
        <f>'[1]49-2011 (2)'!$AB$18/1000</f>
        <v>1181.510843</v>
      </c>
      <c r="I46" s="24">
        <f>'[1]49-2011 (2)'!$AH$18/1000</f>
        <v>1352.2359389999999</v>
      </c>
      <c r="J46" s="24">
        <f>'[1]49-2011 (2)'!$AR$18/1000</f>
        <v>1657.3413350000001</v>
      </c>
      <c r="K46" s="24">
        <f>'[1]49-2011 (2)'!$BB$18/1000</f>
        <v>1845.339876</v>
      </c>
      <c r="L46" s="24">
        <f>'[1]49-2011 (2)'!$BJ$18/1000</f>
        <v>1876.0073340000001</v>
      </c>
      <c r="M46" s="27">
        <f>'[1]49-2011 (2)'!$BM$18/1000</f>
        <v>1838.141183</v>
      </c>
    </row>
    <row r="47" spans="1:13" ht="18" customHeight="1" x14ac:dyDescent="0.2">
      <c r="A47" s="38" t="s">
        <v>91</v>
      </c>
      <c r="B47" s="28">
        <f t="shared" ref="B47:J47" si="6">B40+B43</f>
        <v>1686.069901367892</v>
      </c>
      <c r="C47" s="28">
        <f t="shared" si="6"/>
        <v>1481.1858048696949</v>
      </c>
      <c r="D47" s="28">
        <f t="shared" si="6"/>
        <v>1570.8254245762728</v>
      </c>
      <c r="E47" s="28">
        <f t="shared" si="6"/>
        <v>2341.423906</v>
      </c>
      <c r="F47" s="28">
        <f t="shared" si="6"/>
        <v>2558.9687430000004</v>
      </c>
      <c r="G47" s="28">
        <f t="shared" si="6"/>
        <v>2616.1637799999999</v>
      </c>
      <c r="H47" s="28">
        <f t="shared" si="6"/>
        <v>2956.4339050000003</v>
      </c>
      <c r="I47" s="28">
        <f t="shared" si="6"/>
        <v>3354.4044010000002</v>
      </c>
      <c r="J47" s="28">
        <f t="shared" si="6"/>
        <v>3983.3051649999998</v>
      </c>
      <c r="K47" s="28">
        <f>K40+K43</f>
        <v>4461.5366000000004</v>
      </c>
      <c r="L47" s="28">
        <f>L40+L43</f>
        <v>4532.5611349999999</v>
      </c>
      <c r="M47" s="29">
        <f>M40+M43</f>
        <v>4392.4682849999999</v>
      </c>
    </row>
    <row r="48" spans="1:13" ht="18" customHeight="1" x14ac:dyDescent="0.2">
      <c r="A48" s="38"/>
      <c r="B48" s="24"/>
      <c r="C48" s="24"/>
      <c r="D48" s="24"/>
      <c r="E48" s="24"/>
      <c r="F48" s="24"/>
      <c r="G48" s="24"/>
      <c r="H48" s="24"/>
      <c r="I48" s="24"/>
      <c r="J48" s="20"/>
      <c r="K48" s="20"/>
      <c r="L48" s="20"/>
      <c r="M48" s="21"/>
    </row>
    <row r="49" spans="1:13" ht="18" customHeight="1" x14ac:dyDescent="0.2">
      <c r="A49" s="38" t="s">
        <v>55</v>
      </c>
      <c r="B49" s="24">
        <f>C49*'tertiaire ancienne série'!C47/'tertiaire ancienne série'!D47</f>
        <v>91.90572657435898</v>
      </c>
      <c r="C49" s="24">
        <f>D49*'tertiaire ancienne série'!D47/'tertiaire ancienne série'!E47</f>
        <v>218.55630100000002</v>
      </c>
      <c r="D49" s="24">
        <f>E49*'tertiaire ancienne série'!E47/'tertiaire ancienne série'!F47</f>
        <v>235.36832415384617</v>
      </c>
      <c r="E49" s="24">
        <f>'[1]49-2011 (2)'!$H$11/1000</f>
        <v>218.55630100000002</v>
      </c>
      <c r="F49" s="24">
        <f>'[1]49-2011 (2)'!$P$11/1000</f>
        <v>284.52291100000002</v>
      </c>
      <c r="G49" s="24">
        <f>'[1]49-2011 (2)'!$V$11/1000</f>
        <v>366.47905400000002</v>
      </c>
      <c r="H49" s="24">
        <f>'[1]49-2011 (2)'!$AB$11/1000</f>
        <v>549.24476200000004</v>
      </c>
      <c r="I49" s="24">
        <f>'[1]49-2011 (2)'!$AH$11/1000</f>
        <v>651.11641000000009</v>
      </c>
      <c r="J49" s="24">
        <f>'[1]49-2011 (2)'!$AR$11/1000</f>
        <v>721.82863699999996</v>
      </c>
      <c r="K49" s="24">
        <f>'[1]49-2011 (2)'!$BB$11/1000</f>
        <v>694.68526199999997</v>
      </c>
      <c r="L49" s="24">
        <f>'[1]49-2011 (2)'!$BJ$11/1000</f>
        <v>762.46464099999992</v>
      </c>
      <c r="M49" s="27">
        <f>'[1]49-2011 (2)'!$BM$11/1000</f>
        <v>776.42248499999994</v>
      </c>
    </row>
    <row r="50" spans="1:13" ht="18" customHeight="1" x14ac:dyDescent="0.2">
      <c r="A50" s="38"/>
      <c r="B50" s="24"/>
      <c r="C50" s="24"/>
      <c r="D50" s="24"/>
      <c r="E50" s="24"/>
      <c r="F50" s="24"/>
      <c r="G50" s="24"/>
      <c r="H50" s="24"/>
      <c r="I50" s="24"/>
      <c r="J50" s="20"/>
      <c r="K50" s="20"/>
      <c r="L50" s="20"/>
      <c r="M50" s="21"/>
    </row>
    <row r="51" spans="1:13" ht="18" customHeight="1" x14ac:dyDescent="0.2">
      <c r="A51" s="38" t="s">
        <v>37</v>
      </c>
      <c r="B51" s="28">
        <f>C51*('tertiaire ancienne série'!C53+'tertiaire ancienne série'!C21)/('tertiaire ancienne série'!D53+'tertiaire ancienne série'!D21)</f>
        <v>1282.7318441767068</v>
      </c>
      <c r="C51" s="28">
        <f>D51*('tertiaire ancienne série'!D53+'tertiaire ancienne série'!D21)/('tertiaire ancienne série'!E53+'tertiaire ancienne série'!E21)</f>
        <v>1645.5343583132531</v>
      </c>
      <c r="D51" s="28">
        <f>E51*('tertiaire ancienne série'!E53+'tertiaire ancienne série'!E21)/('tertiaire ancienne série'!F53+'tertiaire ancienne série'!F21)</f>
        <v>1802.5254198393575</v>
      </c>
      <c r="E51" s="28">
        <f>'[1]49-2011 (2)'!$H$5/1000</f>
        <v>1906.8670400000001</v>
      </c>
      <c r="F51" s="28">
        <f>'[1]49-2011 (2)'!$P$5/1000</f>
        <v>2248.9843550000001</v>
      </c>
      <c r="G51" s="28">
        <f>'[1]49-2011 (2)'!$V$5/1000</f>
        <v>2582.4611479999999</v>
      </c>
      <c r="H51" s="28">
        <f>'[1]49-2011 (2)'!$AB$5/1000</f>
        <v>2853.3424139999997</v>
      </c>
      <c r="I51" s="28">
        <f>'[1]49-2011 (2)'!$AH$5/1000</f>
        <v>3016.8178800000001</v>
      </c>
      <c r="J51" s="28">
        <f>'[1]49-2011 (2)'!$AR$5/1000</f>
        <v>3186.2828020000002</v>
      </c>
      <c r="K51" s="28">
        <f>'[1]49-2011 (2)'!$BB$5/1000</f>
        <v>3364.4251260000001</v>
      </c>
      <c r="L51" s="28">
        <f>'[1]49-2011 (2)'!$BJ$5/1000</f>
        <v>3667.379187</v>
      </c>
      <c r="M51" s="29">
        <f>'[1]49-2011 (2)'!$BM$5/1000</f>
        <v>3690.8330139999998</v>
      </c>
    </row>
    <row r="52" spans="1:13" ht="18" customHeight="1" x14ac:dyDescent="0.2">
      <c r="A52" s="38"/>
      <c r="B52" s="24"/>
      <c r="C52" s="24"/>
      <c r="D52" s="24"/>
      <c r="E52" s="24"/>
      <c r="F52" s="24"/>
      <c r="G52" s="24"/>
      <c r="H52" s="24"/>
      <c r="I52" s="24"/>
      <c r="J52" s="20"/>
      <c r="K52" s="20"/>
      <c r="L52" s="20"/>
      <c r="M52" s="21"/>
    </row>
    <row r="53" spans="1:13" ht="18" customHeight="1" x14ac:dyDescent="0.2">
      <c r="A53" s="38" t="s">
        <v>87</v>
      </c>
      <c r="B53" s="24"/>
      <c r="C53" s="24"/>
      <c r="D53" s="24"/>
      <c r="E53" s="24"/>
      <c r="F53" s="24"/>
      <c r="G53" s="24"/>
      <c r="H53" s="24"/>
      <c r="I53" s="24"/>
      <c r="J53" s="20"/>
      <c r="K53" s="20"/>
      <c r="L53" s="20"/>
      <c r="M53" s="21"/>
    </row>
    <row r="54" spans="1:13" ht="18" customHeight="1" x14ac:dyDescent="0.2">
      <c r="A54" s="38" t="s">
        <v>92</v>
      </c>
      <c r="B54" s="24">
        <f>'calcul intermédiaire1'!C40+'calcul intermédiaire1'!C41+'calcul intermédiaire1'!C44</f>
        <v>467.08873278007525</v>
      </c>
      <c r="C54" s="24">
        <f>'calcul intermédiaire1'!D40+'calcul intermédiaire1'!D41+'calcul intermédiaire1'!D44</f>
        <v>777.72287737080694</v>
      </c>
      <c r="D54" s="24">
        <f>'calcul intermédiaire1'!E40+'calcul intermédiaire1'!E41+'calcul intermédiaire1'!E44</f>
        <v>663.78085200220119</v>
      </c>
      <c r="E54" s="24">
        <f>'calcul intermédiaire1'!F40+'calcul intermédiaire1'!F41+'calcul intermédiaire1'!F44</f>
        <v>543.32052185620478</v>
      </c>
      <c r="F54" s="24">
        <f>'calcul intermédiaire1'!G40+'calcul intermédiaire1'!G41+'calcul intermédiaire1'!G44</f>
        <v>557.19309836662524</v>
      </c>
      <c r="G54" s="24">
        <f>'calcul intermédiaire1'!H40+'calcul intermédiaire1'!H41+'calcul intermédiaire1'!H44</f>
        <v>593.15592839816679</v>
      </c>
      <c r="H54" s="24">
        <f>'calcul intermédiaire1'!I40+'calcul intermédiaire1'!I41+'calcul intermédiaire1'!I44</f>
        <v>607.92665330372415</v>
      </c>
      <c r="I54" s="24">
        <f>'calcul intermédiaire1'!J40+'calcul intermédiaire1'!J41+'calcul intermédiaire1'!J44</f>
        <v>631.69283858742858</v>
      </c>
      <c r="J54" s="22">
        <f>'[1]90-2011 88'!$C$51/1000</f>
        <v>680.79629399999999</v>
      </c>
      <c r="K54" s="22">
        <f>'[1]90-2011 88'!$M$51/1000</f>
        <v>713.59596299999998</v>
      </c>
      <c r="L54" s="22">
        <f>'[1]90-2011 88'!$U$51/1000</f>
        <v>780.12035900000001</v>
      </c>
      <c r="M54" s="23">
        <f>'[1]90-2011 88'!$X$51/1000</f>
        <v>797.36707699999999</v>
      </c>
    </row>
    <row r="55" spans="1:13" ht="18" customHeight="1" x14ac:dyDescent="0.2">
      <c r="A55" s="38" t="s">
        <v>60</v>
      </c>
      <c r="B55" s="24">
        <f>'calcul intermédiaire1'!C42</f>
        <v>25.146199882715088</v>
      </c>
      <c r="C55" s="24">
        <f>'calcul intermédiaire1'!D42</f>
        <v>36.042886498558296</v>
      </c>
      <c r="D55" s="24">
        <f>'calcul intermédiaire1'!E42</f>
        <v>40.233919812344141</v>
      </c>
      <c r="E55" s="24">
        <f>'calcul intermédiaire1'!F42</f>
        <v>48.615986439915837</v>
      </c>
      <c r="F55" s="24">
        <f>'calcul intermédiaire1'!G42</f>
        <v>80.423979659873751</v>
      </c>
      <c r="G55" s="24">
        <f>'calcul intermédiaire1'!H42</f>
        <v>99.950228792724104</v>
      </c>
      <c r="H55" s="24">
        <f>'calcul intermédiaire1'!I42</f>
        <v>136.02407739657144</v>
      </c>
      <c r="I55" s="24">
        <f>'calcul intermédiaire1'!J42</f>
        <v>156.05626592000002</v>
      </c>
      <c r="J55" s="22">
        <f>'[1]90-2011 88'!$C$54/1000</f>
        <v>194.25506899999999</v>
      </c>
      <c r="K55" s="22">
        <f>'[1]90-2011 88'!$M$54/1000</f>
        <v>253.50820100000001</v>
      </c>
      <c r="L55" s="22">
        <f>'[1]90-2011 88'!$U$54/1000</f>
        <v>272.34986499999997</v>
      </c>
      <c r="M55" s="23">
        <f>'[1]90-2011 88'!$X$54/1000</f>
        <v>259.858251</v>
      </c>
    </row>
    <row r="56" spans="1:13" ht="18" customHeight="1" x14ac:dyDescent="0.2">
      <c r="A56" s="38" t="s">
        <v>93</v>
      </c>
      <c r="B56" s="24">
        <f>'calcul intermédiaire1'!C43+'calcul intermédiaire1'!C46</f>
        <v>72</v>
      </c>
      <c r="C56" s="24">
        <f>'calcul intermédiaire1'!D43+'calcul intermédiaire1'!D46</f>
        <v>63</v>
      </c>
      <c r="D56" s="24">
        <f>'calcul intermédiaire1'!E43+'calcul intermédiaire1'!E46</f>
        <v>67</v>
      </c>
      <c r="E56" s="24">
        <f>'calcul intermédiaire1'!F43+'calcul intermédiaire1'!F46</f>
        <v>62.852471266870438</v>
      </c>
      <c r="F56" s="24">
        <f>'calcul intermédiaire1'!G43+'calcul intermédiaire1'!G46</f>
        <v>63.085029406405319</v>
      </c>
      <c r="G56" s="24">
        <f>'calcul intermédiaire1'!H43+'calcul intermédiaire1'!H46</f>
        <v>60.294953276225911</v>
      </c>
      <c r="H56" s="24">
        <f>'calcul intermédiaire1'!I43+'calcul intermédiaire1'!I46</f>
        <v>53.629944060863785</v>
      </c>
      <c r="I56" s="24">
        <f>'calcul intermédiaire1'!J43+'calcul intermédiaire1'!J46</f>
        <v>42.392327341714285</v>
      </c>
      <c r="J56" s="22">
        <f>'[1]90-2011 88'!$C$52/1000</f>
        <v>23.274804</v>
      </c>
      <c r="K56" s="22">
        <f>'[1]90-2011 88'!$M$52/1000</f>
        <v>11.797596</v>
      </c>
      <c r="L56" s="22">
        <f>'[1]90-2011 88'!$U$52/1000</f>
        <v>13.675360000000001</v>
      </c>
      <c r="M56" s="23">
        <f>'[1]90-2011 88'!$X$52/1000</f>
        <v>15.298076999999999</v>
      </c>
    </row>
    <row r="57" spans="1:13" ht="18" customHeight="1" x14ac:dyDescent="0.2">
      <c r="A57" s="38" t="s">
        <v>45</v>
      </c>
      <c r="B57" s="24">
        <f>'calcul intermédiaire1'!C45</f>
        <v>0</v>
      </c>
      <c r="C57" s="24">
        <f>'calcul intermédiaire1'!D45</f>
        <v>2.0040974113841208</v>
      </c>
      <c r="D57" s="24">
        <f>'calcul intermédiaire1'!E45</f>
        <v>9.0368767024570875</v>
      </c>
      <c r="E57" s="24">
        <f>'calcul intermédiaire1'!F45</f>
        <v>12.049168936609451</v>
      </c>
      <c r="F57" s="24">
        <f>'calcul intermédiaire1'!G45</f>
        <v>17.069655993530056</v>
      </c>
      <c r="G57" s="24">
        <f>'calcul intermédiaire1'!H45</f>
        <v>26.921867284983609</v>
      </c>
      <c r="H57" s="24">
        <f>'calcul intermédiaire1'!I45</f>
        <v>37.242178499147542</v>
      </c>
      <c r="I57" s="24">
        <f>'calcul intermédiaire1'!J45</f>
        <v>51.460230150857143</v>
      </c>
      <c r="J57" s="22">
        <f>'[1]90-2011 88'!$C$53/1000</f>
        <v>61.317029999999995</v>
      </c>
      <c r="K57" s="22">
        <f>'[1]90-2011 88'!$M$53/1000</f>
        <v>74.557501000000002</v>
      </c>
      <c r="L57" s="22">
        <f>'[1]90-2011 88'!$U$53/1000</f>
        <v>79.295929999999998</v>
      </c>
      <c r="M57" s="23">
        <f>'[1]90-2011 88'!$X$53/1000</f>
        <v>71.085082</v>
      </c>
    </row>
    <row r="58" spans="1:13" ht="18" customHeight="1" x14ac:dyDescent="0.2">
      <c r="A58" s="38" t="s">
        <v>70</v>
      </c>
      <c r="B58" s="24">
        <f t="shared" ref="B58:I58" si="7">-(SUM(B54:B57)-B59)</f>
        <v>61.124015948637862</v>
      </c>
      <c r="C58" s="24">
        <f t="shared" si="7"/>
        <v>62.607170400500536</v>
      </c>
      <c r="D58" s="24">
        <f t="shared" si="7"/>
        <v>75.844932732997449</v>
      </c>
      <c r="E58" s="24">
        <f t="shared" si="7"/>
        <v>135.62256950039955</v>
      </c>
      <c r="F58" s="24">
        <f t="shared" si="7"/>
        <v>160.29352457356549</v>
      </c>
      <c r="G58" s="24">
        <f t="shared" si="7"/>
        <v>192.51352824789967</v>
      </c>
      <c r="H58" s="24">
        <f t="shared" si="7"/>
        <v>222.54699373969333</v>
      </c>
      <c r="I58" s="24">
        <f t="shared" si="7"/>
        <v>250.00000000000011</v>
      </c>
      <c r="J58" s="22">
        <f>'[1]90-2011 88'!$C$55/1000</f>
        <v>250.983453</v>
      </c>
      <c r="K58" s="22">
        <f>'[1]90-2011 88'!$M$55/1000</f>
        <v>267.21143000000001</v>
      </c>
      <c r="L58" s="22">
        <f>'[1]90-2011 88'!$U$55/1000</f>
        <v>261.96576199999998</v>
      </c>
      <c r="M58" s="23">
        <f>'[1]90-2011 88'!$X$55/1000</f>
        <v>244.85614100000001</v>
      </c>
    </row>
    <row r="59" spans="1:13" ht="18" customHeight="1" x14ac:dyDescent="0.2">
      <c r="A59" s="38" t="s">
        <v>47</v>
      </c>
      <c r="B59" s="28">
        <f>C59*'tertiaire ancienne série'!C65/'tertiaire ancienne série'!D65+20</f>
        <v>625.35894861142822</v>
      </c>
      <c r="C59" s="28">
        <f>D59*'tertiaire ancienne série'!D65/'tertiaire ancienne série'!E65+23</f>
        <v>941.37703168124995</v>
      </c>
      <c r="D59" s="28">
        <f>E59*'tertiaire ancienne série'!E65/'tertiaire ancienne série'!F65+20</f>
        <v>855.89658124999994</v>
      </c>
      <c r="E59" s="28">
        <f>'[1]49-2011 (2)'!$H$6/1000</f>
        <v>802.46071800000004</v>
      </c>
      <c r="F59" s="28">
        <f>'[1]49-2011 (2)'!$P$6/1000</f>
        <v>878.0652879999999</v>
      </c>
      <c r="G59" s="28">
        <f>'[1]49-2011 (2)'!$V$6/1000</f>
        <v>972.8365060000001</v>
      </c>
      <c r="H59" s="28">
        <f>'[1]49-2011 (2)'!$AB$6/1000</f>
        <v>1057.3698470000002</v>
      </c>
      <c r="I59" s="28">
        <f>'[1]49-2011 (2)'!$AH$6/1000</f>
        <v>1131.601662</v>
      </c>
      <c r="J59" s="28">
        <f>'[1]49-2011 (2)'!$AR$6/1000</f>
        <v>1210.626651</v>
      </c>
      <c r="K59" s="28">
        <f>'[1]49-2011 (2)'!$BB$6/1000</f>
        <v>1320.670691</v>
      </c>
      <c r="L59" s="28">
        <f>'[1]49-2011 (2)'!$BJ$6/1000</f>
        <v>1407.407277</v>
      </c>
      <c r="M59" s="29">
        <f>'[1]49-2011 (2)'!$BM$6/1000</f>
        <v>1388.4646279999999</v>
      </c>
    </row>
    <row r="60" spans="1:13" ht="18" customHeight="1" x14ac:dyDescent="0.2">
      <c r="A60" s="38"/>
      <c r="B60" s="24"/>
      <c r="C60" s="24"/>
      <c r="D60" s="24"/>
      <c r="E60" s="24"/>
      <c r="F60" s="24"/>
      <c r="G60" s="24"/>
      <c r="H60" s="24"/>
      <c r="I60" s="24"/>
      <c r="J60" s="20"/>
      <c r="K60" s="20"/>
      <c r="L60" s="20"/>
      <c r="M60" s="21"/>
    </row>
    <row r="61" spans="1:13" ht="18" customHeight="1" x14ac:dyDescent="0.2">
      <c r="A61" s="38"/>
      <c r="B61" s="20"/>
      <c r="C61" s="20"/>
      <c r="D61" s="20"/>
      <c r="E61" s="30"/>
      <c r="F61" s="20"/>
      <c r="G61" s="20"/>
      <c r="H61" s="20"/>
      <c r="I61" s="20"/>
      <c r="J61" s="20"/>
      <c r="K61" s="20"/>
      <c r="L61" s="20"/>
      <c r="M61" s="21"/>
    </row>
    <row r="62" spans="1:13" ht="18" customHeight="1" x14ac:dyDescent="0.2">
      <c r="A62" s="38" t="s">
        <v>49</v>
      </c>
      <c r="B62" s="31">
        <f t="shared" ref="B62:M62" si="8">B9+B19+B26+B30+B31+B32+B33+B47+B49+B51+B59+B24</f>
        <v>5939.6566375136636</v>
      </c>
      <c r="C62" s="31">
        <f t="shared" si="8"/>
        <v>6860.484089612286</v>
      </c>
      <c r="D62" s="31">
        <f t="shared" si="8"/>
        <v>7420.6463311609286</v>
      </c>
      <c r="E62" s="31">
        <f t="shared" si="8"/>
        <v>8702.3283504009723</v>
      </c>
      <c r="F62" s="31">
        <f t="shared" si="8"/>
        <v>9793.1777666420567</v>
      </c>
      <c r="G62" s="31">
        <f t="shared" si="8"/>
        <v>10868.120233592259</v>
      </c>
      <c r="H62" s="31">
        <f t="shared" si="8"/>
        <v>12434.944398983744</v>
      </c>
      <c r="I62" s="31">
        <f t="shared" si="8"/>
        <v>13869.137383465077</v>
      </c>
      <c r="J62" s="31">
        <f t="shared" si="8"/>
        <v>16495.148137</v>
      </c>
      <c r="K62" s="31">
        <f t="shared" si="8"/>
        <v>19499.757468999996</v>
      </c>
      <c r="L62" s="31">
        <f t="shared" si="8"/>
        <v>21124.103683999998</v>
      </c>
      <c r="M62" s="32">
        <f t="shared" si="8"/>
        <v>21309.000477999998</v>
      </c>
    </row>
    <row r="63" spans="1:13" ht="18" customHeight="1" x14ac:dyDescent="0.2">
      <c r="A63" s="38" t="s">
        <v>52</v>
      </c>
      <c r="B63" s="33">
        <f>B62/B64</f>
        <v>0.29799405332710399</v>
      </c>
      <c r="C63" s="33">
        <f t="shared" ref="C63:M63" si="9">C62/C64</f>
        <v>0.33477400159811582</v>
      </c>
      <c r="D63" s="33">
        <f t="shared" si="9"/>
        <v>0.39131077692752603</v>
      </c>
      <c r="E63" s="33">
        <f t="shared" si="9"/>
        <v>0.44099666947009503</v>
      </c>
      <c r="F63" s="33">
        <f t="shared" si="9"/>
        <v>0.48594279053615413</v>
      </c>
      <c r="G63" s="33">
        <f t="shared" si="9"/>
        <v>0.5237211567332184</v>
      </c>
      <c r="H63" s="33">
        <f t="shared" si="9"/>
        <v>0.56297094537610792</v>
      </c>
      <c r="I63" s="33">
        <f t="shared" si="9"/>
        <v>0.61140275800940469</v>
      </c>
      <c r="J63" s="33">
        <f t="shared" si="9"/>
        <v>0.69691602495699856</v>
      </c>
      <c r="K63" s="33">
        <f t="shared" si="9"/>
        <v>0.75961335319410894</v>
      </c>
      <c r="L63" s="33">
        <f t="shared" si="9"/>
        <v>0.7775372574171584</v>
      </c>
      <c r="M63" s="34">
        <f t="shared" si="9"/>
        <v>0.78744028210770101</v>
      </c>
    </row>
    <row r="64" spans="1:13" ht="18" customHeight="1" thickBot="1" x14ac:dyDescent="0.25">
      <c r="A64" s="39" t="s">
        <v>51</v>
      </c>
      <c r="B64" s="35">
        <f>C64*'tertiaire ancienne série'!C69/'tertiaire ancienne série'!D69</f>
        <v>19932.131434159135</v>
      </c>
      <c r="C64" s="35">
        <f>D64*'tertiaire ancienne série'!D69/'tertiaire ancienne série'!E69</f>
        <v>20492.881934864377</v>
      </c>
      <c r="D64" s="35">
        <f>E64*'tertiaire ancienne série'!E69/'tertiaire ancienne série'!F69</f>
        <v>18963.56238748644</v>
      </c>
      <c r="E64" s="35">
        <f>'[1]49-2011 (2)'!$H$26/1000</f>
        <v>19733.319893</v>
      </c>
      <c r="F64" s="35">
        <f>'[1]49-2011 (2)'!$P$26/1000</f>
        <v>20152.943839000003</v>
      </c>
      <c r="G64" s="35">
        <f>'[1]49-2011 (2)'!$V$26/1000</f>
        <v>20751.730370000001</v>
      </c>
      <c r="H64" s="35">
        <f>'[1]49-2011 (2)'!$AB$26/1000</f>
        <v>22088.074883999998</v>
      </c>
      <c r="I64" s="35">
        <f>'[1]49-2011 (2)'!$AH$26/1000</f>
        <v>22684.126301</v>
      </c>
      <c r="J64" s="35">
        <f>'[1]49-2011 (2)'!$AR$26/1000</f>
        <v>23668.774352</v>
      </c>
      <c r="K64" s="35">
        <f>'[1]49-2011 (2)'!$BB$26/1000</f>
        <v>25670.635445</v>
      </c>
      <c r="L64" s="35">
        <f>'[1]49-2011 (2)'!$BJ$26/1000</f>
        <v>27167.963313</v>
      </c>
      <c r="M64" s="36">
        <f>'[1]49-2011 (2)'!$BM$26/1000</f>
        <v>27061.100329999997</v>
      </c>
    </row>
    <row r="68" spans="1:9" x14ac:dyDescent="0.2">
      <c r="A68" s="15" t="s">
        <v>71</v>
      </c>
      <c r="B68" s="15">
        <f t="shared" ref="B68:I68" si="10">B22+B58</f>
        <v>61.124015948637862</v>
      </c>
      <c r="C68" s="15">
        <f t="shared" si="10"/>
        <v>62.607170400500536</v>
      </c>
      <c r="D68" s="15">
        <f t="shared" si="10"/>
        <v>75.844932732997449</v>
      </c>
      <c r="E68" s="15">
        <f t="shared" si="10"/>
        <v>210.63953050039953</v>
      </c>
      <c r="F68" s="15">
        <f t="shared" si="10"/>
        <v>255.0703815735655</v>
      </c>
      <c r="G68" s="15">
        <f t="shared" si="10"/>
        <v>306.15310424789971</v>
      </c>
      <c r="H68" s="15">
        <f t="shared" si="10"/>
        <v>352.28103073969334</v>
      </c>
      <c r="I68" s="15">
        <f t="shared" si="10"/>
        <v>400.48340400000012</v>
      </c>
    </row>
    <row r="69" spans="1:9" x14ac:dyDescent="0.2">
      <c r="B69" s="15">
        <f t="shared" ref="B69:H69" si="11">B68/C68</f>
        <v>0.97631015038094071</v>
      </c>
      <c r="C69" s="15">
        <f t="shared" si="11"/>
        <v>0.82546279816611101</v>
      </c>
      <c r="D69" s="15">
        <f t="shared" si="11"/>
        <v>0.36006979579198023</v>
      </c>
      <c r="E69" s="15">
        <f t="shared" si="11"/>
        <v>0.82580944600833028</v>
      </c>
      <c r="F69" s="15">
        <f t="shared" si="11"/>
        <v>0.83314648139915226</v>
      </c>
      <c r="G69" s="15">
        <f t="shared" si="11"/>
        <v>0.86905929508910074</v>
      </c>
      <c r="H69" s="15">
        <f t="shared" si="11"/>
        <v>0.87963952368846032</v>
      </c>
    </row>
    <row r="70" spans="1:9" x14ac:dyDescent="0.2">
      <c r="H70" s="15">
        <f>D69*E69*F69*G69*H69</f>
        <v>0.18938346002721609</v>
      </c>
    </row>
    <row r="71" spans="1:9" x14ac:dyDescent="0.2">
      <c r="H71" s="15">
        <f>H70*C69</f>
        <v>0.15632900084044563</v>
      </c>
    </row>
    <row r="72" spans="1:9" x14ac:dyDescent="0.2">
      <c r="H72" s="15" t="e">
        <f>H71*B69*#REF!</f>
        <v>#REF!</v>
      </c>
    </row>
    <row r="75" spans="1:9" x14ac:dyDescent="0.2">
      <c r="E75" s="17">
        <f>E36+E47+E49+E51+E59+E24</f>
        <v>8903.896037400973</v>
      </c>
      <c r="F75" s="17">
        <f>F36+F47+F49+F51+F59+F24</f>
        <v>10043.256830642056</v>
      </c>
      <c r="G75" s="17">
        <f>G36+G47+G49+G51+G59+G24</f>
        <v>11170.959942592259</v>
      </c>
      <c r="H75" s="17">
        <f>H36+H47+H49+H51+H59+H24</f>
        <v>12800.450353983741</v>
      </c>
      <c r="I75" s="17">
        <f>I36+I47+I49+I51+I59+I24</f>
        <v>14295.03800046508</v>
      </c>
    </row>
    <row r="172" spans="1:1" x14ac:dyDescent="0.2">
      <c r="A172" s="16"/>
    </row>
    <row r="198" spans="1:1" x14ac:dyDescent="0.2">
      <c r="A198" s="16"/>
    </row>
    <row r="199" spans="1:1" x14ac:dyDescent="0.2">
      <c r="A199" s="16"/>
    </row>
    <row r="225" spans="1:1" x14ac:dyDescent="0.2">
      <c r="A225" s="16"/>
    </row>
    <row r="253" spans="1:1" x14ac:dyDescent="0.2">
      <c r="A253" s="16"/>
    </row>
    <row r="254" spans="1:1" x14ac:dyDescent="0.2">
      <c r="A254" s="16"/>
    </row>
    <row r="272" spans="1:1" x14ac:dyDescent="0.2">
      <c r="A272" s="16"/>
    </row>
    <row r="280" spans="1:1" x14ac:dyDescent="0.2">
      <c r="A280" s="16"/>
    </row>
    <row r="281" spans="1:1" x14ac:dyDescent="0.2">
      <c r="A281" s="16"/>
    </row>
    <row r="300" spans="1:1" x14ac:dyDescent="0.2">
      <c r="A300" s="16"/>
    </row>
    <row r="308" spans="1:1" x14ac:dyDescent="0.2">
      <c r="A308" s="16"/>
    </row>
    <row r="309" spans="1:1" x14ac:dyDescent="0.2">
      <c r="A309" s="16"/>
    </row>
    <row r="310" spans="1:1" x14ac:dyDescent="0.2">
      <c r="A310" s="15" t="s">
        <v>25</v>
      </c>
    </row>
    <row r="311" spans="1:1" x14ac:dyDescent="0.2">
      <c r="A311" s="15" t="s">
        <v>26</v>
      </c>
    </row>
  </sheetData>
  <phoneticPr fontId="0" type="noConversion"/>
  <pageMargins left="0.78740157499999996" right="0.78740157499999996" top="0.984251969" bottom="0.984251969" header="0.4921259845" footer="0.492125984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302"/>
  <sheetViews>
    <sheetView tabSelected="1" topLeftCell="A28" workbookViewId="0">
      <selection activeCell="F40" sqref="F40"/>
    </sheetView>
  </sheetViews>
  <sheetFormatPr baseColWidth="10" defaultColWidth="11.42578125" defaultRowHeight="12" x14ac:dyDescent="0.2"/>
  <cols>
    <col min="1" max="1" width="1.7109375" style="15" customWidth="1"/>
    <col min="2" max="2" width="57.140625" style="15" customWidth="1"/>
    <col min="3" max="16" width="9.7109375" style="15" customWidth="1"/>
    <col min="17" max="17" width="11.42578125" style="68"/>
    <col min="18" max="16384" width="11.42578125" style="15"/>
  </cols>
  <sheetData>
    <row r="2" spans="2:16" x14ac:dyDescent="0.2">
      <c r="B2" s="15" t="s">
        <v>105</v>
      </c>
    </row>
    <row r="3" spans="2:16" x14ac:dyDescent="0.2">
      <c r="F3" s="46"/>
    </row>
    <row r="4" spans="2:16" ht="6" customHeight="1" x14ac:dyDescent="0.2"/>
    <row r="5" spans="2:16" ht="18.95" customHeight="1" x14ac:dyDescent="0.25">
      <c r="B5" s="73"/>
      <c r="C5" s="69">
        <v>1906</v>
      </c>
      <c r="D5" s="70">
        <v>1926</v>
      </c>
      <c r="E5" s="70">
        <v>1936</v>
      </c>
      <c r="F5" s="70">
        <v>1954</v>
      </c>
      <c r="G5" s="70">
        <v>1962</v>
      </c>
      <c r="H5" s="70">
        <v>1968</v>
      </c>
      <c r="I5" s="70">
        <v>1974</v>
      </c>
      <c r="J5" s="70">
        <v>1980</v>
      </c>
      <c r="K5" s="70">
        <v>1990</v>
      </c>
      <c r="L5" s="70">
        <v>2000</v>
      </c>
      <c r="M5" s="70">
        <v>2008</v>
      </c>
      <c r="N5" s="70">
        <v>2011</v>
      </c>
      <c r="O5" s="70">
        <v>2016</v>
      </c>
      <c r="P5" s="71">
        <v>2022</v>
      </c>
    </row>
    <row r="6" spans="2:16" ht="18.95" customHeight="1" x14ac:dyDescent="0.25">
      <c r="B6" s="96" t="s">
        <v>2</v>
      </c>
      <c r="C6" s="54"/>
      <c r="D6" s="55"/>
      <c r="E6" s="55"/>
      <c r="F6" s="55"/>
      <c r="G6" s="55"/>
      <c r="H6" s="55"/>
      <c r="I6" s="55"/>
      <c r="J6" s="55"/>
      <c r="K6" s="55"/>
      <c r="L6" s="55"/>
      <c r="M6" s="55"/>
      <c r="N6" s="55"/>
      <c r="O6" s="55"/>
      <c r="P6" s="56"/>
    </row>
    <row r="7" spans="2:16" ht="18.95" customHeight="1" x14ac:dyDescent="0.25">
      <c r="B7" s="80" t="s">
        <v>80</v>
      </c>
      <c r="C7" s="59">
        <f>D7*'tertiaire ancienne série'!C8/'tertiaire ancienne série'!D8</f>
        <v>33.464285714285715</v>
      </c>
      <c r="D7" s="50">
        <f>E7*'tertiaire ancienne série'!D8/'tertiaire ancienne série'!E8</f>
        <v>93.7</v>
      </c>
      <c r="E7" s="50">
        <f>F7</f>
        <v>93.7</v>
      </c>
      <c r="F7" s="50">
        <f>'emploi 38'!C16</f>
        <v>93.7</v>
      </c>
      <c r="G7" s="50">
        <f>'emploi 38'!D16</f>
        <v>110.4</v>
      </c>
      <c r="H7" s="50">
        <f>'emploi 38'!E16</f>
        <v>155.1</v>
      </c>
      <c r="I7" s="50">
        <f>'emploi 38'!F16</f>
        <v>208.4</v>
      </c>
      <c r="J7" s="50">
        <f>'emploi 38'!G16</f>
        <v>254.3</v>
      </c>
      <c r="K7" s="50">
        <f>'emploi 38'!H16</f>
        <v>325.2</v>
      </c>
      <c r="L7" s="50">
        <f>'emploi 38'!I16</f>
        <v>354.1</v>
      </c>
      <c r="M7" s="50">
        <f>'emploi 38'!J16</f>
        <v>380.8</v>
      </c>
      <c r="N7" s="50">
        <f>'emploi 38'!K16</f>
        <v>359.9</v>
      </c>
      <c r="O7" s="50">
        <f>'emploi 38'!L16</f>
        <v>350.3</v>
      </c>
      <c r="P7" s="60">
        <f>'emploi 38'!M16</f>
        <v>412.1</v>
      </c>
    </row>
    <row r="8" spans="2:16" ht="18.95" customHeight="1" x14ac:dyDescent="0.25">
      <c r="B8" s="80"/>
      <c r="C8" s="57"/>
      <c r="D8" s="49"/>
      <c r="E8" s="49"/>
      <c r="F8" s="49"/>
      <c r="G8" s="49"/>
      <c r="H8" s="49"/>
      <c r="I8" s="49"/>
      <c r="J8" s="49"/>
      <c r="K8" s="49"/>
      <c r="L8" s="49"/>
      <c r="M8" s="49"/>
      <c r="N8" s="49"/>
      <c r="O8" s="49"/>
      <c r="P8" s="58"/>
    </row>
    <row r="9" spans="2:16" ht="18.95" customHeight="1" x14ac:dyDescent="0.25">
      <c r="B9" s="79" t="s">
        <v>94</v>
      </c>
      <c r="C9" s="61">
        <f>SUM(C10:C15)</f>
        <v>336.80635511533728</v>
      </c>
      <c r="D9" s="51">
        <f>SUM(D10:D15)</f>
        <v>478.07454842733273</v>
      </c>
      <c r="E9" s="51">
        <f>SUM(E10:E15)</f>
        <v>525.10048372188942</v>
      </c>
      <c r="F9" s="51">
        <f>'emploi 38'!C17</f>
        <v>692.1</v>
      </c>
      <c r="G9" s="51">
        <f>'emploi 38'!D17</f>
        <v>797.1</v>
      </c>
      <c r="H9" s="51">
        <f>'emploi 38'!E17</f>
        <v>1009.1</v>
      </c>
      <c r="I9" s="51">
        <f>'emploi 38'!F17</f>
        <v>1277.5999999999999</v>
      </c>
      <c r="J9" s="51">
        <f>'emploi 38'!G17</f>
        <v>1574.9</v>
      </c>
      <c r="K9" s="51">
        <f>'emploi 38'!H17</f>
        <v>2242.3000000000002</v>
      </c>
      <c r="L9" s="51">
        <f>'emploi 38'!I17</f>
        <v>3158.7</v>
      </c>
      <c r="M9" s="51">
        <f>'emploi 38'!J17</f>
        <v>3659.5</v>
      </c>
      <c r="N9" s="51">
        <f>'emploi 38'!K17</f>
        <v>3723.6</v>
      </c>
      <c r="O9" s="51">
        <f>'emploi 38'!L17</f>
        <v>4047.1</v>
      </c>
      <c r="P9" s="51">
        <f>'emploi 38'!M17</f>
        <v>4740.7</v>
      </c>
    </row>
    <row r="10" spans="2:16" ht="18.95" customHeight="1" x14ac:dyDescent="0.25">
      <c r="B10" s="80" t="s">
        <v>79</v>
      </c>
      <c r="C10" s="59">
        <f>D10*('tertiaire ancienne série'!C6+'tertiaire ancienne série'!C7)/('tertiaire ancienne série'!D6+'tertiaire ancienne série'!D7)</f>
        <v>22.372881355932201</v>
      </c>
      <c r="D10" s="50">
        <f>E10*('tertiaire ancienne série'!D6+'tertiaire ancienne série'!D7)/('tertiaire ancienne série'!E6+'tertiaire ancienne série'!E7)</f>
        <v>34.49152542372881</v>
      </c>
      <c r="E10" s="50">
        <f>F10*('tertiaire ancienne série'!E6+'tertiaire ancienne série'!E7)/('tertiaire ancienne série'!F6+'tertiaire ancienne série'!F7)</f>
        <v>35.423728813559322</v>
      </c>
      <c r="F10" s="50">
        <v>55</v>
      </c>
      <c r="G10" s="50">
        <f>H10*('tertiaire ancienne série'!G6+'tertiaire ancienne série'!G7)/('tertiaire ancienne série'!H6+'tertiaire ancienne série'!H7)-5+6.018919-G1-0.2834871+9.221716</f>
        <v>70.608201173587858</v>
      </c>
      <c r="H10" s="50">
        <f>I10*('tertiaire ancienne série'!H6+'tertiaire ancienne série'!H7)/('tertiaire ancienne série'!I6+'tertiaire ancienne série'!I7)-5-H1+11.2671+1.868625-14.7065</f>
        <v>99.083403862792053</v>
      </c>
      <c r="I10" s="50">
        <f>J10*('tertiaire ancienne série'!I6+'tertiaire ancienne série'!I7)/('tertiaire ancienne série'!J6+'tertiaire ancienne série'!J7)-30-I1-15.090546</f>
        <v>141.51256684046695</v>
      </c>
      <c r="J10" s="50">
        <f>'tertiaire ancienne série'!J6+'tertiaire ancienne série'!J7-40-J1</f>
        <v>217</v>
      </c>
      <c r="K10" s="50">
        <f>'emploi 88'!C35</f>
        <v>272.89999999999998</v>
      </c>
      <c r="L10" s="50">
        <f>'emploi 88'!D35</f>
        <v>281.89999999999998</v>
      </c>
      <c r="M10" s="50">
        <f>'emploi 88'!E35</f>
        <v>384.1</v>
      </c>
      <c r="N10" s="50">
        <f>'emploi 88'!F35</f>
        <v>398.2</v>
      </c>
      <c r="O10" s="50">
        <f>'emploi 88'!G35</f>
        <v>442.7</v>
      </c>
      <c r="P10" s="60">
        <f>'emploi 88'!H35</f>
        <v>532.29999999999995</v>
      </c>
    </row>
    <row r="11" spans="2:16" ht="18.95" customHeight="1" x14ac:dyDescent="0.25">
      <c r="B11" s="80" t="s">
        <v>83</v>
      </c>
      <c r="C11" s="59">
        <f>D11*'tertiaire ancienne série'!C19/'tertiaire ancienne série'!D19</f>
        <v>14.508620689655176</v>
      </c>
      <c r="D11" s="50">
        <f>E11*'tertiaire ancienne série'!D19/'tertiaire ancienne série'!E19</f>
        <v>20.405172413793107</v>
      </c>
      <c r="E11" s="50">
        <f>F11*'tertiaire ancienne série'!E19/'tertiaire ancienne série'!F19</f>
        <v>21.879310344827587</v>
      </c>
      <c r="F11" s="50">
        <v>27</v>
      </c>
      <c r="G11" s="50">
        <v>32</v>
      </c>
      <c r="H11" s="50">
        <v>42</v>
      </c>
      <c r="I11" s="50">
        <v>51</v>
      </c>
      <c r="J11" s="50">
        <f>'[2]t_6208 en niveau'!$AH$38-J10-J12</f>
        <v>61.201344999999947</v>
      </c>
      <c r="K11" s="50">
        <f>'emploi 88'!C34</f>
        <v>156.80000000000001</v>
      </c>
      <c r="L11" s="50">
        <f>'emploi 88'!D34</f>
        <v>295.8</v>
      </c>
      <c r="M11" s="50">
        <f>'emploi 88'!E34</f>
        <v>362.1</v>
      </c>
      <c r="N11" s="50">
        <f>'emploi 88'!F34</f>
        <v>406.8</v>
      </c>
      <c r="O11" s="50">
        <f>'emploi 88'!G34</f>
        <v>484.4</v>
      </c>
      <c r="P11" s="60">
        <f>'emploi 88'!H34</f>
        <v>624.4</v>
      </c>
    </row>
    <row r="12" spans="2:16" ht="18.95" customHeight="1" x14ac:dyDescent="0.25">
      <c r="B12" s="80" t="s">
        <v>78</v>
      </c>
      <c r="C12" s="59">
        <f>'tertiaire ancienne série'!C9+'tertiaire ancienne série'!C10</f>
        <v>42</v>
      </c>
      <c r="D12" s="50">
        <f>'tertiaire ancienne série'!D9+'tertiaire ancienne série'!D10</f>
        <v>56</v>
      </c>
      <c r="E12" s="50">
        <f>'tertiaire ancienne série'!E9+'tertiaire ancienne série'!E10</f>
        <v>80</v>
      </c>
      <c r="F12" s="50">
        <f>'tertiaire ancienne série'!F9+'tertiaire ancienne série'!F10</f>
        <v>87</v>
      </c>
      <c r="G12" s="50">
        <f>'tertiaire ancienne série'!G9+'tertiaire ancienne série'!G10</f>
        <v>95</v>
      </c>
      <c r="H12" s="50">
        <f>'tertiaire ancienne série'!H9+'tertiaire ancienne série'!H10</f>
        <v>128</v>
      </c>
      <c r="I12" s="50">
        <f>'tertiaire ancienne série'!I9+'tertiaire ancienne série'!I10-I1+1.452036</f>
        <v>154.45203599999999</v>
      </c>
      <c r="J12" s="50">
        <f>'tertiaire ancienne série'!J9+'tertiaire ancienne série'!J10-30</f>
        <v>149</v>
      </c>
      <c r="K12" s="50">
        <f>'emploi 88'!C33</f>
        <v>238.1</v>
      </c>
      <c r="L12" s="50">
        <f>'emploi 88'!D33</f>
        <v>277</v>
      </c>
      <c r="M12" s="50">
        <f>'emploi 88'!E33</f>
        <v>321</v>
      </c>
      <c r="N12" s="50">
        <f>'emploi 88'!F33</f>
        <v>325.3</v>
      </c>
      <c r="O12" s="50">
        <f>'emploi 88'!G33</f>
        <v>346.5</v>
      </c>
      <c r="P12" s="60">
        <f>'emploi 88'!H33</f>
        <v>402.1</v>
      </c>
    </row>
    <row r="13" spans="2:16" ht="18.95" customHeight="1" x14ac:dyDescent="0.25">
      <c r="B13" s="80" t="s">
        <v>85</v>
      </c>
      <c r="C13" s="59">
        <f>C10/D10*D13</f>
        <v>32.135593220338983</v>
      </c>
      <c r="D13" s="50">
        <f>D10/E10*E13</f>
        <v>49.542372881355924</v>
      </c>
      <c r="E13" s="50">
        <f>E10/F10*F13</f>
        <v>50.881355932203384</v>
      </c>
      <c r="F13" s="50">
        <v>79</v>
      </c>
      <c r="G13" s="50">
        <v>86</v>
      </c>
      <c r="H13" s="50">
        <v>106</v>
      </c>
      <c r="I13" s="50">
        <v>132</v>
      </c>
      <c r="J13" s="50">
        <f>'[2]t_6208 en niveau'!$AH$40</f>
        <v>160.14369200000002</v>
      </c>
      <c r="K13" s="50">
        <f>'[2]t_6208 en niveau'!$AR$40</f>
        <v>228.33766200000002</v>
      </c>
      <c r="L13" s="50">
        <f>'[2]t_6208 en niveau'!$BB$40</f>
        <v>264.73490999999996</v>
      </c>
      <c r="M13" s="50">
        <f>'[2]t_6208 en niveau'!$BJ$40</f>
        <v>268.77171299999998</v>
      </c>
      <c r="N13" s="50">
        <f>'[2]t_6208 en niveau'!$BM$40</f>
        <v>263.17254599999995</v>
      </c>
      <c r="O13" s="50">
        <v>282</v>
      </c>
      <c r="P13" s="60">
        <v>314.8</v>
      </c>
    </row>
    <row r="14" spans="2:16" ht="18.95" customHeight="1" x14ac:dyDescent="0.25">
      <c r="B14" s="80" t="s">
        <v>81</v>
      </c>
      <c r="C14" s="59">
        <f>D14*'calcul intermédiaire2'!B17/'calcul intermédiaire2'!C17</f>
        <v>52.596731113778709</v>
      </c>
      <c r="D14" s="50">
        <f>E14*'calcul intermédiaire2'!C17/'calcul intermédiaire2'!D17</f>
        <v>81.086627133742184</v>
      </c>
      <c r="E14" s="50">
        <f>F14*'calcul intermédiaire2'!D17/'calcul intermédiaire2'!E17</f>
        <v>83.2781575968163</v>
      </c>
      <c r="F14" s="50">
        <f>G14*'calcul intermédiaire2'!E17/'calcul intermédiaire2'!F17</f>
        <v>129.30029732137268</v>
      </c>
      <c r="G14" s="50">
        <v>145</v>
      </c>
      <c r="H14" s="50">
        <v>157</v>
      </c>
      <c r="I14" s="50">
        <v>186</v>
      </c>
      <c r="J14" s="50">
        <f>'[2]t_6208 en niveau'!AH39</f>
        <v>230.268799</v>
      </c>
      <c r="K14" s="50">
        <f>'emploi 88'!C36</f>
        <v>258.2</v>
      </c>
      <c r="L14" s="50">
        <f>'emploi 88'!D36</f>
        <v>271.10000000000002</v>
      </c>
      <c r="M14" s="50">
        <f>'emploi 88'!E36</f>
        <v>284.89999999999998</v>
      </c>
      <c r="N14" s="50">
        <f>'emploi 88'!F36</f>
        <v>318.10000000000002</v>
      </c>
      <c r="O14" s="50">
        <f>'emploi 88'!G36</f>
        <v>329.2</v>
      </c>
      <c r="P14" s="60">
        <f>'emploi 88'!H36</f>
        <v>335.4</v>
      </c>
    </row>
    <row r="15" spans="2:16" ht="18.95" customHeight="1" x14ac:dyDescent="0.25">
      <c r="B15" s="80" t="s">
        <v>82</v>
      </c>
      <c r="C15" s="59">
        <f>D15*'tertiaire ancienne série'!C19/'tertiaire ancienne série'!D19+5</f>
        <v>173.19252873563221</v>
      </c>
      <c r="D15" s="50">
        <f>E15*'tertiaire ancienne série'!D19/'tertiaire ancienne série'!E19</f>
        <v>236.54885057471267</v>
      </c>
      <c r="E15" s="50">
        <f>F15*'tertiaire ancienne série'!E19/'tertiaire ancienne série'!F19</f>
        <v>253.63793103448276</v>
      </c>
      <c r="F15" s="50">
        <v>313</v>
      </c>
      <c r="G15" s="50">
        <v>368</v>
      </c>
      <c r="H15" s="50">
        <v>477</v>
      </c>
      <c r="I15" s="50">
        <v>613</v>
      </c>
      <c r="J15" s="50">
        <v>757</v>
      </c>
      <c r="K15" s="50">
        <f>'emploi 88'!C41</f>
        <v>1104.5999999999999</v>
      </c>
      <c r="L15" s="50">
        <f>'emploi 88'!D41</f>
        <v>1788.6</v>
      </c>
      <c r="M15" s="50">
        <f>'emploi 88'!E41</f>
        <v>2057.9</v>
      </c>
      <c r="N15" s="50">
        <f>'emploi 88'!F41</f>
        <v>2027.9</v>
      </c>
      <c r="O15" s="50">
        <f>'emploi 88'!G41</f>
        <v>2174.9</v>
      </c>
      <c r="P15" s="60">
        <f>'emploi 88'!H41</f>
        <v>2531.4</v>
      </c>
    </row>
    <row r="16" spans="2:16" ht="18.95" customHeight="1" x14ac:dyDescent="0.2">
      <c r="B16" s="74"/>
      <c r="C16" s="74"/>
      <c r="D16" s="68"/>
      <c r="E16" s="68"/>
      <c r="F16" s="68"/>
      <c r="G16" s="68"/>
      <c r="H16" s="68"/>
      <c r="I16" s="68"/>
      <c r="J16" s="68"/>
      <c r="K16" s="68"/>
      <c r="L16" s="68"/>
      <c r="M16" s="68"/>
      <c r="N16" s="68"/>
      <c r="O16" s="68"/>
      <c r="P16" s="75"/>
    </row>
    <row r="17" spans="2:16" ht="18.95" customHeight="1" x14ac:dyDescent="0.25">
      <c r="B17" s="80" t="s">
        <v>66</v>
      </c>
      <c r="C17" s="59"/>
      <c r="D17" s="50"/>
      <c r="E17" s="50"/>
      <c r="F17" s="50">
        <f>G17*'calcul intermédiaire2'!E21/'calcul intermédiaire2'!F21</f>
        <v>73.119900690955035</v>
      </c>
      <c r="G17" s="50">
        <f>'emploi 38'!D12</f>
        <v>91.6</v>
      </c>
      <c r="H17" s="50">
        <f>'emploi 38'!E12</f>
        <v>104.4</v>
      </c>
      <c r="I17" s="50">
        <f>'emploi 38'!F12</f>
        <v>124.4</v>
      </c>
      <c r="J17" s="50">
        <f>'emploi 38'!G12</f>
        <v>136.4</v>
      </c>
      <c r="K17" s="50">
        <f>'emploi 38'!H12</f>
        <v>174.8</v>
      </c>
      <c r="L17" s="50">
        <f>'emploi 38'!I12</f>
        <v>215.5</v>
      </c>
      <c r="M17" s="50">
        <f>'emploi 38'!J12</f>
        <v>221.1</v>
      </c>
      <c r="N17" s="50">
        <f>'emploi 38'!K12</f>
        <v>214.1</v>
      </c>
      <c r="O17" s="50">
        <f>'emploi 38'!L12</f>
        <v>213.8</v>
      </c>
      <c r="P17" s="60">
        <f>'emploi 38'!M12</f>
        <v>253.5</v>
      </c>
    </row>
    <row r="18" spans="2:16" ht="18.95" customHeight="1" x14ac:dyDescent="0.25">
      <c r="B18" s="80" t="s">
        <v>67</v>
      </c>
      <c r="C18" s="59"/>
      <c r="D18" s="50"/>
      <c r="E18" s="50"/>
      <c r="F18" s="50">
        <f>G18*'calcul intermédiaire2'!E22/'calcul intermédiaire2'!F22</f>
        <v>67.278467411089608</v>
      </c>
      <c r="G18" s="50">
        <f>'emploi 38'!D13</f>
        <v>85</v>
      </c>
      <c r="H18" s="50">
        <f>'emploi 38'!E13</f>
        <v>102.3</v>
      </c>
      <c r="I18" s="50">
        <f>'emploi 38'!F13</f>
        <v>117</v>
      </c>
      <c r="J18" s="50">
        <f>'emploi 38'!G13</f>
        <v>135.9</v>
      </c>
      <c r="K18" s="50">
        <f>'emploi 38'!H13</f>
        <v>142.69999999999999</v>
      </c>
      <c r="L18" s="50">
        <f>'emploi 38'!I13</f>
        <v>149.6</v>
      </c>
      <c r="M18" s="50">
        <f>'emploi 38'!J13</f>
        <v>132.69999999999999</v>
      </c>
      <c r="N18" s="50">
        <f>'emploi 38'!K13</f>
        <v>121.5</v>
      </c>
      <c r="O18" s="50">
        <f>'emploi 38'!L13</f>
        <v>104.4</v>
      </c>
      <c r="P18" s="60">
        <f>'emploi 38'!M13</f>
        <v>97.4</v>
      </c>
    </row>
    <row r="19" spans="2:16" ht="18.95" customHeight="1" x14ac:dyDescent="0.25">
      <c r="B19" s="80" t="s">
        <v>68</v>
      </c>
      <c r="C19" s="59"/>
      <c r="D19" s="50"/>
      <c r="E19" s="50"/>
      <c r="F19" s="50">
        <f>G19*'calcul intermédiaire2'!E23/'calcul intermédiaire2'!F23</f>
        <v>63.142635863476379</v>
      </c>
      <c r="G19" s="50">
        <f>'emploi 38'!D14</f>
        <v>75.400000000000006</v>
      </c>
      <c r="H19" s="50">
        <f>'emploi 38'!E14</f>
        <v>100.8</v>
      </c>
      <c r="I19" s="50">
        <f>'emploi 38'!F14</f>
        <v>132.4</v>
      </c>
      <c r="J19" s="50">
        <f>'emploi 38'!G14</f>
        <v>165.6</v>
      </c>
      <c r="K19" s="50">
        <f>'emploi 38'!H14</f>
        <v>253.3</v>
      </c>
      <c r="L19" s="50">
        <f>'emploi 38'!I14</f>
        <v>411</v>
      </c>
      <c r="M19" s="50">
        <f>'emploi 38'!J14</f>
        <v>485</v>
      </c>
      <c r="N19" s="50">
        <f>'emploi 38'!K14</f>
        <v>511</v>
      </c>
      <c r="O19" s="50">
        <f>'emploi 38'!L14</f>
        <v>595.70000000000005</v>
      </c>
      <c r="P19" s="60">
        <f>'emploi 38'!M14</f>
        <v>776.7</v>
      </c>
    </row>
    <row r="20" spans="2:16" ht="18.95" customHeight="1" x14ac:dyDescent="0.25">
      <c r="B20" s="79" t="s">
        <v>69</v>
      </c>
      <c r="C20" s="61">
        <f>D20*'calcul intermédiaire2'!B24/'calcul intermédiaire2'!C24</f>
        <v>100.56175323379088</v>
      </c>
      <c r="D20" s="51">
        <f>E20*'calcul intermédiaire2'!C24/'calcul intermédiaire2'!D24</f>
        <v>148.83139478601049</v>
      </c>
      <c r="E20" s="51">
        <f>F20*'calcul intermédiaire2'!D24/'calcul intermédiaire2'!E24</f>
        <v>161.90442270640332</v>
      </c>
      <c r="F20" s="51">
        <f>'emploi 38'!C11</f>
        <v>202.7</v>
      </c>
      <c r="G20" s="51">
        <f>'emploi 38'!D11</f>
        <v>251.9</v>
      </c>
      <c r="H20" s="51">
        <f>'emploi 38'!E11</f>
        <v>307.60000000000002</v>
      </c>
      <c r="I20" s="51">
        <f>'emploi 38'!F11</f>
        <v>373.9</v>
      </c>
      <c r="J20" s="51">
        <f>'emploi 38'!G11</f>
        <v>437.8</v>
      </c>
      <c r="K20" s="51">
        <f>'emploi 38'!H11</f>
        <v>570.79999999999995</v>
      </c>
      <c r="L20" s="51">
        <f>'emploi 38'!I11</f>
        <v>776.1</v>
      </c>
      <c r="M20" s="51">
        <f>'emploi 38'!J11</f>
        <v>838.8</v>
      </c>
      <c r="N20" s="51">
        <f>'emploi 38'!K11</f>
        <v>846.6</v>
      </c>
      <c r="O20" s="51">
        <f>'emploi 38'!L11</f>
        <v>913.9</v>
      </c>
      <c r="P20" s="51">
        <f>'emploi 38'!M11</f>
        <v>1127.5999999999999</v>
      </c>
    </row>
    <row r="21" spans="2:16" ht="18.95" customHeight="1" x14ac:dyDescent="0.25">
      <c r="B21" s="80"/>
      <c r="C21" s="59"/>
      <c r="D21" s="50"/>
      <c r="E21" s="50"/>
      <c r="F21" s="50"/>
      <c r="G21" s="50"/>
      <c r="H21" s="50"/>
      <c r="I21" s="50"/>
      <c r="J21" s="50"/>
      <c r="K21" s="49"/>
      <c r="L21" s="49"/>
      <c r="M21" s="49"/>
      <c r="N21" s="49"/>
      <c r="O21" s="49"/>
      <c r="P21" s="58"/>
    </row>
    <row r="22" spans="2:16" ht="18.95" customHeight="1" x14ac:dyDescent="0.25">
      <c r="B22" s="80" t="s">
        <v>102</v>
      </c>
      <c r="C22" s="59">
        <f>D22*'calcul intermédiaire2'!B26/'calcul intermédiaire2'!C26</f>
        <v>509.15768463073846</v>
      </c>
      <c r="D22" s="50">
        <f>E22*'calcul intermédiaire2'!C26/'calcul intermédiaire2'!D26</f>
        <v>474.89660678642707</v>
      </c>
      <c r="E22" s="50">
        <f>F22*'calcul intermédiaire2'!D26/'calcul intermédiaire2'!E26</f>
        <v>522.48143712574847</v>
      </c>
      <c r="F22" s="50">
        <f>'emploi 38'!C10</f>
        <v>476.8</v>
      </c>
      <c r="G22" s="50">
        <f>'emploi 38'!D10</f>
        <v>513.70000000000005</v>
      </c>
      <c r="H22" s="50">
        <f>'emploi 38'!E10</f>
        <v>536.5</v>
      </c>
      <c r="I22" s="50">
        <f>'emploi 38'!F10</f>
        <v>587</v>
      </c>
      <c r="J22" s="50">
        <f>'emploi 38'!G10</f>
        <v>590.1</v>
      </c>
      <c r="K22" s="50">
        <f>'emploi 38'!H10</f>
        <v>777.6</v>
      </c>
      <c r="L22" s="50">
        <f>'emploi 38'!I10</f>
        <v>945.4</v>
      </c>
      <c r="M22" s="50">
        <f>'emploi 38'!J10</f>
        <v>1082</v>
      </c>
      <c r="N22" s="50">
        <f>'emploi 38'!K10</f>
        <v>1148.8</v>
      </c>
      <c r="O22" s="50">
        <f>'emploi 38'!L10</f>
        <v>1212.5</v>
      </c>
      <c r="P22" s="60">
        <f>'emploi 38'!M10</f>
        <v>1386.1</v>
      </c>
    </row>
    <row r="23" spans="2:16" ht="18.95" customHeight="1" x14ac:dyDescent="0.25">
      <c r="B23" s="80"/>
      <c r="C23" s="59"/>
      <c r="D23" s="50"/>
      <c r="E23" s="50"/>
      <c r="F23" s="50"/>
      <c r="G23" s="50"/>
      <c r="H23" s="50"/>
      <c r="I23" s="50"/>
      <c r="J23" s="50"/>
      <c r="K23" s="49"/>
      <c r="L23" s="49"/>
      <c r="M23" s="49"/>
      <c r="N23" s="49"/>
      <c r="O23" s="49"/>
      <c r="P23" s="58"/>
    </row>
    <row r="24" spans="2:16" ht="18.95" customHeight="1" x14ac:dyDescent="0.25">
      <c r="B24" s="79" t="s">
        <v>95</v>
      </c>
      <c r="C24" s="61">
        <f>+C25+C26</f>
        <v>771.3474489069232</v>
      </c>
      <c r="D24" s="51">
        <f t="shared" ref="D24:P24" si="0">+D25+D26</f>
        <v>649.34521276595751</v>
      </c>
      <c r="E24" s="51">
        <f t="shared" si="0"/>
        <v>741.06063829787229</v>
      </c>
      <c r="F24" s="51">
        <f t="shared" si="0"/>
        <v>689.7</v>
      </c>
      <c r="G24" s="51">
        <f t="shared" si="0"/>
        <v>685.59999999999991</v>
      </c>
      <c r="H24" s="51">
        <f t="shared" si="0"/>
        <v>689.3</v>
      </c>
      <c r="I24" s="51">
        <f t="shared" si="0"/>
        <v>707.2</v>
      </c>
      <c r="J24" s="51">
        <f t="shared" si="0"/>
        <v>735</v>
      </c>
      <c r="K24" s="51">
        <f t="shared" si="0"/>
        <v>847.9</v>
      </c>
      <c r="L24" s="51">
        <f t="shared" si="0"/>
        <v>1287.9000000000001</v>
      </c>
      <c r="M24" s="51">
        <f t="shared" si="0"/>
        <v>1288.9000000000001</v>
      </c>
      <c r="N24" s="51">
        <f t="shared" si="0"/>
        <v>1372</v>
      </c>
      <c r="O24" s="51">
        <f t="shared" si="0"/>
        <v>1466.6</v>
      </c>
      <c r="P24" s="62">
        <f t="shared" si="0"/>
        <v>1611.9</v>
      </c>
    </row>
    <row r="25" spans="2:16" ht="18.95" customHeight="1" x14ac:dyDescent="0.25">
      <c r="B25" s="80" t="s">
        <v>77</v>
      </c>
      <c r="C25" s="59">
        <f>D25*'calcul intermédiaire2'!B32/'calcul intermédiaire2'!C32</f>
        <v>613.9912272725835</v>
      </c>
      <c r="D25" s="50">
        <f>E25*'calcul intermédiaire2'!C32/'calcul intermédiaire2'!D32</f>
        <v>516.87765957446811</v>
      </c>
      <c r="E25" s="50">
        <f>F25*'calcul intermédiaire2'!D32/'calcul intermédiaire2'!E32</f>
        <v>589.88297872340422</v>
      </c>
      <c r="F25" s="50">
        <v>549</v>
      </c>
      <c r="G25" s="50">
        <f>'emploi 38'!D24</f>
        <v>544.9</v>
      </c>
      <c r="H25" s="50">
        <f>'emploi 38'!E24</f>
        <v>532.1</v>
      </c>
      <c r="I25" s="50">
        <f>'emploi 38'!F24</f>
        <v>511</v>
      </c>
      <c r="J25" s="50">
        <f>'emploi 38'!G24</f>
        <v>508.9</v>
      </c>
      <c r="K25" s="50">
        <f>'emploi 38'!H24</f>
        <v>555.9</v>
      </c>
      <c r="L25" s="50">
        <f>'emploi 38'!I24</f>
        <v>881.5</v>
      </c>
      <c r="M25" s="50">
        <f>'emploi 38'!J24</f>
        <v>750.8</v>
      </c>
      <c r="N25" s="50">
        <f>'emploi 38'!K24</f>
        <v>801.2</v>
      </c>
      <c r="O25" s="50">
        <f>'emploi 38'!L24</f>
        <v>862.1</v>
      </c>
      <c r="P25" s="60">
        <f>'emploi 38'!M24</f>
        <v>965.4</v>
      </c>
    </row>
    <row r="26" spans="2:16" ht="18.95" customHeight="1" x14ac:dyDescent="0.25">
      <c r="B26" s="80" t="s">
        <v>86</v>
      </c>
      <c r="C26" s="59">
        <f>D26*'calcul intermédiaire2'!B33/'calcul intermédiaire2'!C33</f>
        <v>157.35622163433968</v>
      </c>
      <c r="D26" s="50">
        <f>E26*'calcul intermédiaire2'!C33/'calcul intermédiaire2'!D33</f>
        <v>132.46755319148934</v>
      </c>
      <c r="E26" s="50">
        <f>F26*'calcul intermédiaire2'!D33/'calcul intermédiaire2'!E33</f>
        <v>151.17765957446804</v>
      </c>
      <c r="F26" s="50">
        <f>'emploi 38'!D23</f>
        <v>140.69999999999999</v>
      </c>
      <c r="G26" s="50">
        <f>'emploi 38'!D23</f>
        <v>140.69999999999999</v>
      </c>
      <c r="H26" s="50">
        <f>'emploi 38'!E23</f>
        <v>157.19999999999999</v>
      </c>
      <c r="I26" s="50">
        <f>'emploi 38'!F23</f>
        <v>196.2</v>
      </c>
      <c r="J26" s="50">
        <f>'emploi 38'!G23</f>
        <v>226.1</v>
      </c>
      <c r="K26" s="50">
        <f>'emploi 38'!H23</f>
        <v>292</v>
      </c>
      <c r="L26" s="50">
        <f>'emploi 38'!I23</f>
        <v>406.4</v>
      </c>
      <c r="M26" s="50">
        <f>'emploi 38'!J23</f>
        <v>538.1</v>
      </c>
      <c r="N26" s="50">
        <f>'emploi 38'!K23</f>
        <v>570.79999999999995</v>
      </c>
      <c r="O26" s="50">
        <f>'emploi 38'!L23</f>
        <v>604.5</v>
      </c>
      <c r="P26" s="60">
        <f>'emploi 38'!M23</f>
        <v>646.5</v>
      </c>
    </row>
    <row r="27" spans="2:16" ht="18.95" customHeight="1" x14ac:dyDescent="0.2">
      <c r="B27" s="74"/>
      <c r="C27" s="74"/>
      <c r="D27" s="68"/>
      <c r="E27" s="68"/>
      <c r="F27" s="68"/>
      <c r="G27" s="68"/>
      <c r="H27" s="68"/>
      <c r="I27" s="68"/>
      <c r="J27" s="68"/>
      <c r="K27" s="68"/>
      <c r="L27" s="68"/>
      <c r="M27" s="68"/>
      <c r="N27" s="68"/>
      <c r="O27" s="68"/>
      <c r="P27" s="75"/>
    </row>
    <row r="28" spans="2:16" ht="18.95" customHeight="1" x14ac:dyDescent="0.25">
      <c r="B28" s="80" t="s">
        <v>62</v>
      </c>
      <c r="C28" s="110">
        <f t="shared" ref="C28:N28" si="1">C7+C9+C24+C22+C20</f>
        <v>1751.3375276010754</v>
      </c>
      <c r="D28" s="111">
        <f t="shared" si="1"/>
        <v>1844.847762765728</v>
      </c>
      <c r="E28" s="111">
        <f t="shared" si="1"/>
        <v>2044.2469818519135</v>
      </c>
      <c r="F28" s="111">
        <f t="shared" si="1"/>
        <v>2155</v>
      </c>
      <c r="G28" s="111">
        <f t="shared" si="1"/>
        <v>2358.7000000000003</v>
      </c>
      <c r="H28" s="111">
        <f t="shared" si="1"/>
        <v>2697.6</v>
      </c>
      <c r="I28" s="111">
        <f t="shared" si="1"/>
        <v>3154.1</v>
      </c>
      <c r="J28" s="111">
        <f t="shared" si="1"/>
        <v>3592.1</v>
      </c>
      <c r="K28" s="111">
        <f t="shared" si="1"/>
        <v>4763.8</v>
      </c>
      <c r="L28" s="111">
        <f t="shared" si="1"/>
        <v>6522.2</v>
      </c>
      <c r="M28" s="111">
        <f t="shared" si="1"/>
        <v>7250.0000000000009</v>
      </c>
      <c r="N28" s="111">
        <f t="shared" si="1"/>
        <v>7450.9000000000005</v>
      </c>
      <c r="O28" s="111">
        <f t="shared" ref="O28:P28" si="2">O7+O9+O24+O22+O20</f>
        <v>7990.4</v>
      </c>
      <c r="P28" s="112">
        <f t="shared" si="2"/>
        <v>9278.4000000000015</v>
      </c>
    </row>
    <row r="29" spans="2:16" ht="18.95" customHeight="1" x14ac:dyDescent="0.3">
      <c r="B29" s="100" t="s">
        <v>52</v>
      </c>
      <c r="C29" s="63">
        <f t="shared" ref="C29:P29" si="3">C28/C54</f>
        <v>8.8368471556665593E-2</v>
      </c>
      <c r="D29" s="64">
        <f t="shared" si="3"/>
        <v>9.0539632587260332E-2</v>
      </c>
      <c r="E29" s="64">
        <f t="shared" si="3"/>
        <v>0.10841632261490691</v>
      </c>
      <c r="F29" s="64">
        <f t="shared" si="3"/>
        <v>0.1098318629624533</v>
      </c>
      <c r="G29" s="64">
        <f t="shared" si="3"/>
        <v>0.11762388482463884</v>
      </c>
      <c r="H29" s="64">
        <f t="shared" si="3"/>
        <v>0.13057936849850182</v>
      </c>
      <c r="I29" s="64">
        <f t="shared" si="3"/>
        <v>0.14335775579957821</v>
      </c>
      <c r="J29" s="64">
        <f t="shared" si="3"/>
        <v>0.15888623496107573</v>
      </c>
      <c r="K29" s="64">
        <f t="shared" si="3"/>
        <v>0.20143173063506092</v>
      </c>
      <c r="L29" s="64">
        <f t="shared" si="3"/>
        <v>0.25388582884057687</v>
      </c>
      <c r="M29" s="64">
        <f t="shared" si="3"/>
        <v>0.26627490588559366</v>
      </c>
      <c r="N29" s="64">
        <f t="shared" si="3"/>
        <v>0.27437802884119672</v>
      </c>
      <c r="O29" s="64">
        <f t="shared" si="3"/>
        <v>0.28825708791942189</v>
      </c>
      <c r="P29" s="65">
        <f t="shared" si="3"/>
        <v>0.30822279581037049</v>
      </c>
    </row>
    <row r="30" spans="2:16" s="68" customFormat="1" ht="13.5" customHeight="1" x14ac:dyDescent="0.3">
      <c r="B30" s="76"/>
      <c r="C30" s="53"/>
      <c r="D30" s="53"/>
      <c r="E30" s="53"/>
      <c r="H30" s="53"/>
      <c r="I30" s="53"/>
      <c r="J30" s="53"/>
      <c r="K30" s="53"/>
      <c r="L30" s="53"/>
      <c r="M30" s="53"/>
      <c r="N30" s="53"/>
      <c r="O30" s="53"/>
      <c r="P30" s="53"/>
    </row>
    <row r="31" spans="2:16" ht="18.95" customHeight="1" x14ac:dyDescent="0.25">
      <c r="B31" s="73"/>
      <c r="C31" s="69">
        <v>1906</v>
      </c>
      <c r="D31" s="70">
        <v>1926</v>
      </c>
      <c r="E31" s="70">
        <v>1936</v>
      </c>
      <c r="F31" s="70">
        <v>1954</v>
      </c>
      <c r="G31" s="70">
        <v>1962</v>
      </c>
      <c r="H31" s="70">
        <v>1968</v>
      </c>
      <c r="I31" s="70">
        <v>1974</v>
      </c>
      <c r="J31" s="70">
        <v>1980</v>
      </c>
      <c r="K31" s="70">
        <v>1990</v>
      </c>
      <c r="L31" s="70">
        <v>2000</v>
      </c>
      <c r="M31" s="70">
        <v>2008</v>
      </c>
      <c r="N31" s="70">
        <v>2011</v>
      </c>
      <c r="O31" s="70">
        <v>2016</v>
      </c>
      <c r="P31" s="71">
        <v>2022</v>
      </c>
    </row>
    <row r="32" spans="2:16" ht="18.95" customHeight="1" x14ac:dyDescent="0.25">
      <c r="B32" s="96" t="s">
        <v>75</v>
      </c>
      <c r="C32" s="97">
        <f t="shared" ref="C32:P32" si="4">C33+C34+C38+C39</f>
        <v>2179.3236725757138</v>
      </c>
      <c r="D32" s="98">
        <f t="shared" si="4"/>
        <v>2177.533732557702</v>
      </c>
      <c r="E32" s="98">
        <f t="shared" si="4"/>
        <v>2446.908235739922</v>
      </c>
      <c r="F32" s="98">
        <f t="shared" si="4"/>
        <v>3579.3571923954792</v>
      </c>
      <c r="G32" s="98">
        <f t="shared" si="4"/>
        <v>3997.2999999999997</v>
      </c>
      <c r="H32" s="98">
        <f t="shared" si="4"/>
        <v>4227.7000000000007</v>
      </c>
      <c r="I32" s="98">
        <f t="shared" si="4"/>
        <v>4796.2999999999993</v>
      </c>
      <c r="J32" s="98">
        <f t="shared" si="4"/>
        <v>5447.5</v>
      </c>
      <c r="K32" s="98">
        <f t="shared" si="4"/>
        <v>6585.2000000000007</v>
      </c>
      <c r="L32" s="98">
        <f t="shared" si="4"/>
        <v>7746.8000000000011</v>
      </c>
      <c r="M32" s="98">
        <f t="shared" si="4"/>
        <v>8327.7000000000007</v>
      </c>
      <c r="N32" s="98">
        <f t="shared" si="4"/>
        <v>8429.1</v>
      </c>
      <c r="O32" s="98">
        <f t="shared" si="4"/>
        <v>8676.4</v>
      </c>
      <c r="P32" s="99">
        <f t="shared" si="4"/>
        <v>8909.5</v>
      </c>
    </row>
    <row r="33" spans="2:16" ht="18.95" customHeight="1" x14ac:dyDescent="0.25">
      <c r="B33" s="80" t="s">
        <v>109</v>
      </c>
      <c r="C33" s="59">
        <f>D33*'calcul intermédiaire2'!B40/'calcul intermédiaire2'!C40</f>
        <v>246.72972661343391</v>
      </c>
      <c r="D33" s="50">
        <f>E33*'calcul intermédiaire2'!C40/'calcul intermédiaire2'!D40</f>
        <v>155.4259719944358</v>
      </c>
      <c r="E33" s="50">
        <f>F33*'calcul intermédiaire2'!D40/'calcul intermédiaire2'!E40</f>
        <v>130.00727560864985</v>
      </c>
      <c r="F33" s="50">
        <f>G33*'calcul intermédiaire2'!E40/'calcul intermédiaire2'!F40</f>
        <v>101.05967405678973</v>
      </c>
      <c r="G33" s="50">
        <f>'emploi 38'!D25</f>
        <v>92.9</v>
      </c>
      <c r="H33" s="50">
        <f>'emploi 38'!E25</f>
        <v>88.1</v>
      </c>
      <c r="I33" s="50">
        <f>'emploi 38'!F25</f>
        <v>75.7</v>
      </c>
      <c r="J33" s="50">
        <f>'emploi 38'!G25</f>
        <v>58.4</v>
      </c>
      <c r="K33" s="50">
        <f>'emploi 38'!H25</f>
        <v>67</v>
      </c>
      <c r="L33" s="50">
        <f>'emploi 38'!I25</f>
        <v>132.6</v>
      </c>
      <c r="M33" s="50">
        <f>'emploi 38'!J25</f>
        <v>184.8</v>
      </c>
      <c r="N33" s="50">
        <f>'emploi 38'!K25</f>
        <v>182.3</v>
      </c>
      <c r="O33" s="50">
        <f>'emploi 38'!L25</f>
        <v>152.19999999999999</v>
      </c>
      <c r="P33" s="60">
        <f>'emploi 38'!M25</f>
        <v>139.30000000000001</v>
      </c>
    </row>
    <row r="34" spans="2:16" ht="18.95" customHeight="1" x14ac:dyDescent="0.25">
      <c r="B34" s="80" t="s">
        <v>107</v>
      </c>
      <c r="C34" s="59">
        <f>D34*'calcul intermédiaire2'!B43/'calcul intermédiaire2'!C43</f>
        <v>1465.4852546322452</v>
      </c>
      <c r="D34" s="50">
        <f>E34*'calcul intermédiaire2'!C43/'calcul intermédiaire2'!D43</f>
        <v>1343.822327832587</v>
      </c>
      <c r="E34" s="50">
        <f>F34*'calcul intermédiaire2'!D43/'calcul intermédiaire2'!E43</f>
        <v>1457.1879044620484</v>
      </c>
      <c r="F34" s="50">
        <f t="shared" ref="F34:P34" si="5">F36+F37</f>
        <v>2257.3468206023817</v>
      </c>
      <c r="G34" s="50">
        <f t="shared" si="5"/>
        <v>2496.6</v>
      </c>
      <c r="H34" s="50">
        <f t="shared" si="5"/>
        <v>2566.1000000000004</v>
      </c>
      <c r="I34" s="50">
        <f t="shared" si="5"/>
        <v>2927.1</v>
      </c>
      <c r="J34" s="50">
        <f t="shared" si="5"/>
        <v>3353</v>
      </c>
      <c r="K34" s="50">
        <f t="shared" si="5"/>
        <v>3987.1000000000004</v>
      </c>
      <c r="L34" s="50">
        <f t="shared" si="5"/>
        <v>4430.8</v>
      </c>
      <c r="M34" s="50">
        <f t="shared" si="5"/>
        <v>4454.1000000000004</v>
      </c>
      <c r="N34" s="50">
        <f t="shared" si="5"/>
        <v>4349.2999999999993</v>
      </c>
      <c r="O34" s="50">
        <f t="shared" si="5"/>
        <v>4434.7999999999993</v>
      </c>
      <c r="P34" s="60">
        <f t="shared" si="5"/>
        <v>4527.7999999999993</v>
      </c>
    </row>
    <row r="35" spans="2:16" ht="18.95" customHeight="1" x14ac:dyDescent="0.25">
      <c r="B35" s="80" t="s">
        <v>33</v>
      </c>
      <c r="C35" s="59"/>
      <c r="D35" s="50"/>
      <c r="E35" s="50"/>
      <c r="F35" s="50"/>
      <c r="G35" s="50"/>
      <c r="H35" s="50"/>
      <c r="I35" s="50"/>
      <c r="J35" s="50"/>
      <c r="K35" s="49"/>
      <c r="L35" s="49"/>
      <c r="M35" s="49"/>
      <c r="N35" s="49"/>
      <c r="O35" s="82"/>
      <c r="P35" s="83"/>
    </row>
    <row r="36" spans="2:16" ht="18.95" customHeight="1" x14ac:dyDescent="0.25">
      <c r="B36" s="80" t="s">
        <v>73</v>
      </c>
      <c r="C36" s="59"/>
      <c r="D36" s="50"/>
      <c r="E36" s="50"/>
      <c r="F36" s="50">
        <f>G36*'calcul intermédiaire2'!E45/'calcul intermédiaire2'!F45-9</f>
        <v>1444.5713247839981</v>
      </c>
      <c r="G36" s="50">
        <f>'emploi 38'!D27</f>
        <v>1558.5</v>
      </c>
      <c r="H36" s="50">
        <f>'emploi 38'!E27</f>
        <v>1538.2</v>
      </c>
      <c r="I36" s="50">
        <f>'emploi 38'!F27</f>
        <v>1765.6</v>
      </c>
      <c r="J36" s="50">
        <f>'emploi 38'!G27</f>
        <v>2021.1</v>
      </c>
      <c r="K36" s="50">
        <f>'emploi 38'!H27</f>
        <v>2350.9</v>
      </c>
      <c r="L36" s="50">
        <f>'emploi 38'!I27</f>
        <v>2590.6</v>
      </c>
      <c r="M36" s="50">
        <f>'emploi 38'!J27</f>
        <v>2523.9</v>
      </c>
      <c r="N36" s="50">
        <f>'emploi 38'!K27</f>
        <v>2425.1999999999998</v>
      </c>
      <c r="O36" s="50">
        <f>'emploi 38'!L27</f>
        <v>2417.1999999999998</v>
      </c>
      <c r="P36" s="60">
        <f>'emploi 38'!M27</f>
        <v>2478.6999999999998</v>
      </c>
    </row>
    <row r="37" spans="2:16" ht="18.95" customHeight="1" x14ac:dyDescent="0.25">
      <c r="B37" s="80" t="s">
        <v>72</v>
      </c>
      <c r="C37" s="59"/>
      <c r="D37" s="50"/>
      <c r="E37" s="50"/>
      <c r="F37" s="50">
        <f>G37*'calcul intermédiaire2'!E46/'calcul intermédiaire2'!F46-5</f>
        <v>812.77549581838377</v>
      </c>
      <c r="G37" s="50">
        <f>'emploi 38'!D28</f>
        <v>938.1</v>
      </c>
      <c r="H37" s="50">
        <f>'emploi 38'!E28</f>
        <v>1027.9000000000001</v>
      </c>
      <c r="I37" s="50">
        <f>'emploi 38'!F28</f>
        <v>1161.5</v>
      </c>
      <c r="J37" s="50">
        <f>'emploi 38'!G28</f>
        <v>1331.9</v>
      </c>
      <c r="K37" s="50">
        <f>'emploi 38'!H28</f>
        <v>1636.2</v>
      </c>
      <c r="L37" s="50">
        <f>'emploi 38'!I28</f>
        <v>1840.2</v>
      </c>
      <c r="M37" s="50">
        <f>'emploi 38'!J28</f>
        <v>1930.2</v>
      </c>
      <c r="N37" s="50">
        <f>'emploi 38'!K28</f>
        <v>1924.1</v>
      </c>
      <c r="O37" s="50">
        <f>'emploi 38'!L28</f>
        <v>2017.6</v>
      </c>
      <c r="P37" s="60">
        <f>'emploi 38'!M28</f>
        <v>2049.1</v>
      </c>
    </row>
    <row r="38" spans="2:16" ht="18.95" customHeight="1" x14ac:dyDescent="0.25">
      <c r="B38" s="80" t="s">
        <v>103</v>
      </c>
      <c r="C38" s="59">
        <f>D38*'calcul intermédiaire2'!B30/'calcul intermédiaire2'!C30</f>
        <v>257.24725828532422</v>
      </c>
      <c r="D38" s="50">
        <f>E38*'calcul intermédiaire2'!C30/'calcul intermédiaire2'!D30</f>
        <v>375.15225166609781</v>
      </c>
      <c r="E38" s="50">
        <f>F38*'calcul intermédiaire2'!D30/'calcul intermédiaire2'!E30</f>
        <v>486.62606358973829</v>
      </c>
      <c r="F38" s="50">
        <f>G38*'calcul intermédiaire2'!E30/'calcul intermédiaire2'!F30-4</f>
        <v>754.59195763695095</v>
      </c>
      <c r="G38" s="50">
        <f>'emploi 38'!D29</f>
        <v>859.2</v>
      </c>
      <c r="H38" s="50">
        <f>'emploi 38'!E29</f>
        <v>970.9</v>
      </c>
      <c r="I38" s="50">
        <f>'emploi 38'!F29</f>
        <v>1119.3</v>
      </c>
      <c r="J38" s="50">
        <f>'emploi 38'!G29</f>
        <v>1292.3</v>
      </c>
      <c r="K38" s="50">
        <f>'emploi 38'!H29</f>
        <v>1619</v>
      </c>
      <c r="L38" s="50">
        <f>'emploi 38'!I29</f>
        <v>1606</v>
      </c>
      <c r="M38" s="50">
        <f>'emploi 38'!J29</f>
        <v>1798.1</v>
      </c>
      <c r="N38" s="50">
        <f>'emploi 38'!K29</f>
        <v>1888.3</v>
      </c>
      <c r="O38" s="50">
        <f>'emploi 38'!L29</f>
        <v>2010</v>
      </c>
      <c r="P38" s="60">
        <f>'emploi 38'!M29</f>
        <v>2120.1999999999998</v>
      </c>
    </row>
    <row r="39" spans="2:16" ht="18.95" customHeight="1" x14ac:dyDescent="0.25">
      <c r="B39" s="81" t="s">
        <v>21</v>
      </c>
      <c r="C39" s="85">
        <f>D39*'calcul intermédiaire2'!B31/'calcul intermédiaire2'!C31</f>
        <v>209.8614330447104</v>
      </c>
      <c r="D39" s="86">
        <f>E39*'calcul intermédiaire2'!C31/'calcul intermédiaire2'!D31</f>
        <v>303.13318106458166</v>
      </c>
      <c r="E39" s="86">
        <f>F39*'calcul intermédiaire2'!D31/'calcul intermédiaire2'!E31</f>
        <v>373.08699207948513</v>
      </c>
      <c r="F39" s="86">
        <f>G39*'calcul intermédiaire2'!E31/'calcul intermédiaire2'!F31</f>
        <v>466.35874009935634</v>
      </c>
      <c r="G39" s="86">
        <f>'emploi 38'!D30</f>
        <v>548.6</v>
      </c>
      <c r="H39" s="86">
        <f>'emploi 38'!E30</f>
        <v>602.6</v>
      </c>
      <c r="I39" s="86">
        <f>'emploi 38'!F30</f>
        <v>674.2</v>
      </c>
      <c r="J39" s="86">
        <f>'emploi 38'!G30</f>
        <v>743.8</v>
      </c>
      <c r="K39" s="86">
        <f>'emploi 38'!H30</f>
        <v>912.1</v>
      </c>
      <c r="L39" s="86">
        <f>'emploi 38'!I30</f>
        <v>1577.4</v>
      </c>
      <c r="M39" s="86">
        <f>'emploi 38'!J30</f>
        <v>1890.7</v>
      </c>
      <c r="N39" s="86">
        <f>'emploi 38'!K30</f>
        <v>2009.2</v>
      </c>
      <c r="O39" s="86">
        <f>'emploi 38'!L30</f>
        <v>2079.4</v>
      </c>
      <c r="P39" s="87">
        <f>'emploi 38'!M30</f>
        <v>2122.1999999999998</v>
      </c>
    </row>
    <row r="40" spans="2:16" ht="18.95" customHeight="1" x14ac:dyDescent="0.25">
      <c r="B40" s="77"/>
      <c r="C40" s="59"/>
      <c r="D40" s="50"/>
      <c r="E40" s="50"/>
      <c r="F40" s="50"/>
      <c r="G40" s="50"/>
      <c r="H40" s="50"/>
      <c r="I40" s="50"/>
      <c r="J40" s="50"/>
      <c r="K40" s="49"/>
      <c r="L40" s="49"/>
      <c r="M40" s="49"/>
      <c r="N40" s="49"/>
      <c r="O40" s="82"/>
      <c r="P40" s="75"/>
    </row>
    <row r="41" spans="2:16" ht="18.95" customHeight="1" x14ac:dyDescent="0.25">
      <c r="B41" s="72" t="s">
        <v>104</v>
      </c>
      <c r="C41" s="59">
        <f>D41*'calcul intermédiaire2'!B49/'calcul intermédiaire2'!C49</f>
        <v>88.223589743589741</v>
      </c>
      <c r="D41" s="50">
        <f>E41*'calcul intermédiaire2'!C49/'calcul intermédiaire2'!D49</f>
        <v>209.8</v>
      </c>
      <c r="E41" s="50">
        <f>F41*'calcul intermédiaire2'!D49/'calcul intermédiaire2'!E49</f>
        <v>225.93846153846155</v>
      </c>
      <c r="F41" s="50">
        <f>'emploi 38'!C15</f>
        <v>209.8</v>
      </c>
      <c r="G41" s="50">
        <f>'emploi 38'!D15</f>
        <v>274.3</v>
      </c>
      <c r="H41" s="50">
        <f>'emploi 38'!E15</f>
        <v>354.7</v>
      </c>
      <c r="I41" s="50">
        <f>'emploi 38'!F15</f>
        <v>532.4</v>
      </c>
      <c r="J41" s="50">
        <f>'emploi 38'!G15</f>
        <v>630.79999999999995</v>
      </c>
      <c r="K41" s="50">
        <f>'emploi 38'!H15</f>
        <v>701.6</v>
      </c>
      <c r="L41" s="50">
        <f>'emploi 38'!I15</f>
        <v>683.9</v>
      </c>
      <c r="M41" s="50">
        <f>'emploi 38'!J15</f>
        <v>755.3</v>
      </c>
      <c r="N41" s="50">
        <f>'emploi 38'!K15</f>
        <v>766</v>
      </c>
      <c r="O41" s="50">
        <f>'emploi 38'!L15</f>
        <v>774.4</v>
      </c>
      <c r="P41" s="60">
        <f>'emploi 38'!M15</f>
        <v>810.3</v>
      </c>
    </row>
    <row r="42" spans="2:16" ht="18.95" customHeight="1" x14ac:dyDescent="0.25">
      <c r="B42" s="72"/>
      <c r="C42" s="59"/>
      <c r="D42" s="50"/>
      <c r="E42" s="50"/>
      <c r="F42" s="50"/>
      <c r="G42" s="50"/>
      <c r="H42" s="50"/>
      <c r="I42" s="50"/>
      <c r="J42" s="50"/>
      <c r="K42" s="49"/>
      <c r="L42" s="49"/>
      <c r="M42" s="49"/>
      <c r="N42" s="49"/>
      <c r="O42" s="49"/>
      <c r="P42" s="58"/>
    </row>
    <row r="43" spans="2:16" ht="18.95" customHeight="1" x14ac:dyDescent="0.25">
      <c r="B43" s="72" t="s">
        <v>37</v>
      </c>
      <c r="C43" s="59">
        <f>D43*'calcul intermédiaire2'!B51/'calcul intermédiaire2'!C51</f>
        <v>1203.9146586345382</v>
      </c>
      <c r="D43" s="50">
        <f>E43*'calcul intermédiaire2'!C51/'calcul intermédiaire2'!D51</f>
        <v>1544.4248493975904</v>
      </c>
      <c r="E43" s="50">
        <f>F43*'calcul intermédiaire2'!D51/'calcul intermédiaire2'!E51</f>
        <v>1691.7696285140562</v>
      </c>
      <c r="F43" s="50">
        <f>'emploi 38'!C8</f>
        <v>1789.7</v>
      </c>
      <c r="G43" s="50">
        <f>'emploi 38'!D8</f>
        <v>2110.5</v>
      </c>
      <c r="H43" s="50">
        <f>'emploi 38'!E8</f>
        <v>2425.1999999999998</v>
      </c>
      <c r="I43" s="50">
        <f>'emploi 38'!F8</f>
        <v>2677.3</v>
      </c>
      <c r="J43" s="50">
        <f>'emploi 38'!G8</f>
        <v>2830.9</v>
      </c>
      <c r="K43" s="50">
        <f>'emploi 38'!H8</f>
        <v>3001</v>
      </c>
      <c r="L43" s="50">
        <f>'emploi 38'!I8</f>
        <v>3182.7</v>
      </c>
      <c r="M43" s="50">
        <f>'emploi 38'!J8</f>
        <v>3458.2</v>
      </c>
      <c r="N43" s="50">
        <f>'emploi 38'!K8</f>
        <v>3458</v>
      </c>
      <c r="O43" s="50">
        <f>'emploi 38'!L8</f>
        <v>3455.6</v>
      </c>
      <c r="P43" s="60">
        <f>'emploi 38'!M8</f>
        <v>3781.5</v>
      </c>
    </row>
    <row r="44" spans="2:16" ht="18.95" customHeight="1" x14ac:dyDescent="0.25">
      <c r="B44" s="72"/>
      <c r="C44" s="59"/>
      <c r="D44" s="50"/>
      <c r="E44" s="50"/>
      <c r="F44" s="50"/>
      <c r="G44" s="50"/>
      <c r="H44" s="50"/>
      <c r="I44" s="50"/>
      <c r="J44" s="50"/>
      <c r="K44" s="49"/>
      <c r="L44" s="49"/>
      <c r="M44" s="49"/>
      <c r="N44" s="49"/>
      <c r="O44" s="49"/>
      <c r="P44" s="58"/>
    </row>
    <row r="45" spans="2:16" ht="18.95" customHeight="1" x14ac:dyDescent="0.25">
      <c r="B45" s="72" t="s">
        <v>47</v>
      </c>
      <c r="C45" s="61">
        <f>D45*'tertiaire ancienne série'!C65/'tertiaire ancienne série'!D65+20</f>
        <v>609.21530754892831</v>
      </c>
      <c r="D45" s="51">
        <f>E45*'tertiaire ancienne série'!D65/'tertiaire ancienne série'!E65+23</f>
        <v>916.27250000000004</v>
      </c>
      <c r="E45" s="51">
        <f>F45*'tertiaire ancienne série'!E65/'tertiaire ancienne série'!F65+20</f>
        <v>832.5</v>
      </c>
      <c r="F45" s="50">
        <f>'emploi 38'!C9</f>
        <v>780</v>
      </c>
      <c r="G45" s="50">
        <f>'emploi 38'!D9</f>
        <v>857.4</v>
      </c>
      <c r="H45" s="50">
        <f>'emploi 38'!E9</f>
        <v>953.4</v>
      </c>
      <c r="I45" s="50">
        <f>'emploi 38'!F9</f>
        <v>1037.8</v>
      </c>
      <c r="J45" s="50">
        <f>'emploi 38'!G9</f>
        <v>1110.7</v>
      </c>
      <c r="K45" s="50">
        <f>'emploi 38'!H9</f>
        <v>1195.9000000000001</v>
      </c>
      <c r="L45" s="50">
        <f>'emploi 38'!I9</f>
        <v>1322.2</v>
      </c>
      <c r="M45" s="50">
        <f>'emploi 38'!J9</f>
        <v>1406.3</v>
      </c>
      <c r="N45" s="50">
        <f>'emploi 38'!K9</f>
        <v>1377.8</v>
      </c>
      <c r="O45" s="50">
        <f>'emploi 38'!L9</f>
        <v>1389.1</v>
      </c>
      <c r="P45" s="60">
        <f>'emploi 38'!M9</f>
        <v>1537</v>
      </c>
    </row>
    <row r="46" spans="2:16" ht="18.95" customHeight="1" x14ac:dyDescent="0.25">
      <c r="B46" s="72" t="s">
        <v>92</v>
      </c>
      <c r="C46" s="59">
        <f>'calcul intermédiaire1'!C40+'calcul intermédiaire1'!C41+'calcul intermédiaire1'!C44</f>
        <v>467.08873278007525</v>
      </c>
      <c r="D46" s="50">
        <f>'calcul intermédiaire1'!D40+'calcul intermédiaire1'!D41+'calcul intermédiaire1'!D44</f>
        <v>777.72287737080694</v>
      </c>
      <c r="E46" s="50">
        <f>'calcul intermédiaire1'!E40+'calcul intermédiaire1'!E41+'calcul intermédiaire1'!E44</f>
        <v>663.78085200220119</v>
      </c>
      <c r="F46" s="50">
        <f>'calcul intermédiaire1'!F40+'calcul intermédiaire1'!F41+'calcul intermédiaire1'!F44</f>
        <v>543.32052185620478</v>
      </c>
      <c r="G46" s="50">
        <f>'calcul intermédiaire1'!G40+'calcul intermédiaire1'!G41+'calcul intermédiaire1'!G44</f>
        <v>557.19309836662524</v>
      </c>
      <c r="H46" s="50">
        <f>'calcul intermédiaire1'!H40+'calcul intermédiaire1'!H41+'calcul intermédiaire1'!H44</f>
        <v>593.15592839816679</v>
      </c>
      <c r="I46" s="50">
        <f>'calcul intermédiaire1'!I40+'calcul intermédiaire1'!I41+'calcul intermédiaire1'!I44</f>
        <v>607.92665330372415</v>
      </c>
      <c r="J46" s="50">
        <f>'calcul intermédiaire1'!J40+'calcul intermédiaire1'!J41+'calcul intermédiaire1'!J44</f>
        <v>631.69283858742858</v>
      </c>
      <c r="K46" s="50">
        <f>'emploi 88'!C11</f>
        <v>613.5</v>
      </c>
      <c r="L46" s="50">
        <f>'emploi 88'!D11</f>
        <v>643.70000000000005</v>
      </c>
      <c r="M46" s="50">
        <f>'emploi 88'!E11</f>
        <v>712.6</v>
      </c>
      <c r="N46" s="50">
        <f>'emploi 88'!F11</f>
        <v>727.3</v>
      </c>
      <c r="O46" s="50">
        <f>'emploi 88'!G11</f>
        <v>753</v>
      </c>
      <c r="P46" s="60">
        <f>'emploi 88'!H11</f>
        <v>848.7</v>
      </c>
    </row>
    <row r="47" spans="2:16" ht="18.95" customHeight="1" x14ac:dyDescent="0.25">
      <c r="B47" s="72" t="s">
        <v>60</v>
      </c>
      <c r="C47" s="59">
        <f>'calcul intermédiaire1'!C42</f>
        <v>25.146199882715088</v>
      </c>
      <c r="D47" s="50">
        <f>'calcul intermédiaire1'!D42</f>
        <v>36.042886498558296</v>
      </c>
      <c r="E47" s="50">
        <f>'calcul intermédiaire1'!E42</f>
        <v>40.233919812344141</v>
      </c>
      <c r="F47" s="50">
        <f>'calcul intermédiaire1'!F42</f>
        <v>48.615986439915837</v>
      </c>
      <c r="G47" s="50">
        <f>'calcul intermédiaire1'!G42</f>
        <v>80.423979659873751</v>
      </c>
      <c r="H47" s="50">
        <f>'calcul intermédiaire1'!H42</f>
        <v>99.950228792724104</v>
      </c>
      <c r="I47" s="50">
        <f>'calcul intermédiaire1'!I42</f>
        <v>136.02407739657144</v>
      </c>
      <c r="J47" s="50">
        <f>'calcul intermédiaire1'!J42</f>
        <v>156.05626592000002</v>
      </c>
      <c r="K47" s="50">
        <f>'emploi 88'!C12</f>
        <v>19.100000000000001</v>
      </c>
      <c r="L47" s="50">
        <f>'emploi 88'!D12</f>
        <v>9.6999999999999993</v>
      </c>
      <c r="M47" s="50">
        <f>'emploi 88'!E12</f>
        <v>11.2</v>
      </c>
      <c r="N47" s="50">
        <f>'emploi 88'!F12</f>
        <v>12.4</v>
      </c>
      <c r="O47" s="50">
        <f>'emploi 88'!G12</f>
        <v>12.4</v>
      </c>
      <c r="P47" s="60">
        <f>'emploi 88'!H12</f>
        <v>13.3</v>
      </c>
    </row>
    <row r="48" spans="2:16" ht="18.95" customHeight="1" x14ac:dyDescent="0.25">
      <c r="B48" s="72" t="s">
        <v>93</v>
      </c>
      <c r="C48" s="59">
        <f>'calcul intermédiaire1'!C43+'calcul intermédiaire1'!C46</f>
        <v>72</v>
      </c>
      <c r="D48" s="50">
        <f>'calcul intermédiaire1'!D43+'calcul intermédiaire1'!D46</f>
        <v>63</v>
      </c>
      <c r="E48" s="50">
        <f>'calcul intermédiaire1'!E43+'calcul intermédiaire1'!E46</f>
        <v>67</v>
      </c>
      <c r="F48" s="50">
        <f>'calcul intermédiaire1'!F43+'calcul intermédiaire1'!F46</f>
        <v>62.852471266870438</v>
      </c>
      <c r="G48" s="50">
        <f>'calcul intermédiaire1'!G43+'calcul intermédiaire1'!G46</f>
        <v>63.085029406405319</v>
      </c>
      <c r="H48" s="50">
        <f>'calcul intermédiaire1'!H43+'calcul intermédiaire1'!H46</f>
        <v>60.294953276225911</v>
      </c>
      <c r="I48" s="50">
        <f>'calcul intermédiaire1'!I43+'calcul intermédiaire1'!I46</f>
        <v>53.629944060863785</v>
      </c>
      <c r="J48" s="50">
        <f>'calcul intermédiaire1'!J43+'calcul intermédiaire1'!J46</f>
        <v>42.392327341714285</v>
      </c>
      <c r="K48" s="50">
        <f>'emploi 88'!C13</f>
        <v>54.1</v>
      </c>
      <c r="L48" s="50">
        <f>'emploi 88'!D13</f>
        <v>65.5</v>
      </c>
      <c r="M48" s="50">
        <f>'emploi 88'!E13</f>
        <v>69.400000000000006</v>
      </c>
      <c r="N48" s="50">
        <f>'emploi 88'!F13</f>
        <v>61.7</v>
      </c>
      <c r="O48" s="50">
        <f>'emploi 88'!G13</f>
        <v>55.2</v>
      </c>
      <c r="P48" s="60">
        <f>'emploi 88'!H13</f>
        <v>52.6</v>
      </c>
    </row>
    <row r="49" spans="2:16" ht="18.95" customHeight="1" x14ac:dyDescent="0.25">
      <c r="B49" s="72" t="s">
        <v>45</v>
      </c>
      <c r="C49" s="59">
        <f>'calcul intermédiaire1'!C45</f>
        <v>0</v>
      </c>
      <c r="D49" s="50">
        <f>'calcul intermédiaire1'!D45</f>
        <v>2.0040974113841208</v>
      </c>
      <c r="E49" s="50">
        <f>'calcul intermédiaire1'!E45</f>
        <v>9.0368767024570875</v>
      </c>
      <c r="F49" s="50">
        <f>'calcul intermédiaire1'!F45</f>
        <v>12.049168936609451</v>
      </c>
      <c r="G49" s="50">
        <f>'calcul intermédiaire1'!G45</f>
        <v>17.069655993530056</v>
      </c>
      <c r="H49" s="50">
        <f>'calcul intermédiaire1'!H45</f>
        <v>26.921867284983609</v>
      </c>
      <c r="I49" s="50">
        <f>'calcul intermédiaire1'!I45</f>
        <v>37.242178499147542</v>
      </c>
      <c r="J49" s="50">
        <f>'calcul intermédiaire1'!J45</f>
        <v>51.460230150857143</v>
      </c>
      <c r="K49" s="50">
        <f>'emploi 88'!C14</f>
        <v>253.3</v>
      </c>
      <c r="L49" s="50">
        <f>'emploi 88'!D14</f>
        <v>331.7</v>
      </c>
      <c r="M49" s="50">
        <f>'emploi 88'!E14</f>
        <v>348</v>
      </c>
      <c r="N49" s="50">
        <f>'emploi 88'!F14</f>
        <v>330.6</v>
      </c>
      <c r="O49" s="50">
        <f>'emploi 88'!G14</f>
        <v>343.8</v>
      </c>
      <c r="P49" s="60">
        <f>'emploi 88'!H14</f>
        <v>372.1</v>
      </c>
    </row>
    <row r="50" spans="2:16" ht="18.95" customHeight="1" x14ac:dyDescent="0.25">
      <c r="B50" s="78" t="s">
        <v>108</v>
      </c>
      <c r="C50" s="85">
        <f t="shared" ref="C50:J50" si="6">-(SUM(C46:C49)-C45)</f>
        <v>44.980374886137952</v>
      </c>
      <c r="D50" s="86">
        <f t="shared" si="6"/>
        <v>37.502638719250626</v>
      </c>
      <c r="E50" s="86">
        <f t="shared" si="6"/>
        <v>52.448351482997509</v>
      </c>
      <c r="F50" s="86">
        <f t="shared" si="6"/>
        <v>113.16185150039951</v>
      </c>
      <c r="G50" s="86">
        <f t="shared" si="6"/>
        <v>139.62823657356557</v>
      </c>
      <c r="H50" s="86">
        <f t="shared" si="6"/>
        <v>173.07702224789955</v>
      </c>
      <c r="I50" s="86">
        <f t="shared" si="6"/>
        <v>202.97714673969313</v>
      </c>
      <c r="J50" s="86">
        <f t="shared" si="6"/>
        <v>229.09833800000013</v>
      </c>
      <c r="K50" s="86">
        <f>'emploi 88'!C15</f>
        <v>255.9</v>
      </c>
      <c r="L50" s="86">
        <f>'emploi 88'!D15</f>
        <v>271.60000000000002</v>
      </c>
      <c r="M50" s="86">
        <f>'emploi 88'!E15</f>
        <v>265.2</v>
      </c>
      <c r="N50" s="86">
        <f>'emploi 88'!F15</f>
        <v>245.9</v>
      </c>
      <c r="O50" s="86">
        <f>'emploi 88'!G15</f>
        <v>224.7</v>
      </c>
      <c r="P50" s="87">
        <f>'emploi 88'!H15</f>
        <v>250.3</v>
      </c>
    </row>
    <row r="51" spans="2:16" ht="18.95" customHeight="1" x14ac:dyDescent="0.2">
      <c r="B51" s="88"/>
      <c r="C51" s="88"/>
      <c r="D51" s="90"/>
      <c r="E51" s="90"/>
      <c r="F51" s="90"/>
      <c r="G51" s="90"/>
      <c r="H51" s="90"/>
      <c r="I51" s="90"/>
      <c r="J51" s="90"/>
      <c r="K51" s="90"/>
      <c r="L51" s="90"/>
      <c r="M51" s="90"/>
      <c r="N51" s="90"/>
      <c r="O51" s="90"/>
      <c r="P51" s="84"/>
    </row>
    <row r="52" spans="2:16" ht="18.95" customHeight="1" x14ac:dyDescent="0.25">
      <c r="B52" s="80" t="s">
        <v>49</v>
      </c>
      <c r="C52" s="91">
        <f t="shared" ref="C52:E52" si="7">C7+C9+C22+C25+C26+C32+C41+C43+C45+C20</f>
        <v>5832.0147561038457</v>
      </c>
      <c r="D52" s="52">
        <f t="shared" si="7"/>
        <v>6692.87884472102</v>
      </c>
      <c r="E52" s="52">
        <f t="shared" si="7"/>
        <v>7241.3633076443539</v>
      </c>
      <c r="F52" s="52">
        <f>'emploi 38'!C6+'emploi 38'!C26</f>
        <v>8513.7000000000007</v>
      </c>
      <c r="G52" s="52">
        <f>'emploi 38'!D6+'emploi 38'!D26</f>
        <v>9598.4</v>
      </c>
      <c r="H52" s="52">
        <f>'emploi 38'!E6+'emploi 38'!E26</f>
        <v>10658.6</v>
      </c>
      <c r="I52" s="52">
        <f>'emploi 38'!F6+'emploi 38'!F26</f>
        <v>12197.9</v>
      </c>
      <c r="J52" s="52">
        <f>'emploi 38'!G6+'emploi 38'!G26</f>
        <v>13612</v>
      </c>
      <c r="K52" s="52">
        <f>'emploi 38'!H6+'emploi 38'!H26</f>
        <v>16247.5</v>
      </c>
      <c r="L52" s="52">
        <f>'emploi 38'!I6+'emploi 38'!I26</f>
        <v>19457.599999999999</v>
      </c>
      <c r="M52" s="52">
        <f>'emploi 38'!J6+'emploi 38'!J26</f>
        <v>21197.599999999999</v>
      </c>
      <c r="N52" s="52">
        <f>'emploi 38'!K6+'emploi 38'!K26</f>
        <v>21482</v>
      </c>
      <c r="O52" s="52">
        <f>'emploi 38'!L6+'emploi 38'!L26</f>
        <v>22286</v>
      </c>
      <c r="P52" s="92">
        <f>'emploi 38'!M6+'emploi 38'!M26</f>
        <v>24316.7</v>
      </c>
    </row>
    <row r="53" spans="2:16" ht="18.95" customHeight="1" x14ac:dyDescent="0.3">
      <c r="B53" s="89" t="s">
        <v>52</v>
      </c>
      <c r="C53" s="66">
        <f t="shared" ref="C53:P53" si="8">C52/C54</f>
        <v>0.29427007756680029</v>
      </c>
      <c r="D53" s="53">
        <f t="shared" si="8"/>
        <v>0.32846655631012039</v>
      </c>
      <c r="E53" s="53">
        <f t="shared" si="8"/>
        <v>0.3840445834104167</v>
      </c>
      <c r="F53" s="53">
        <f t="shared" si="8"/>
        <v>0.43390975949115485</v>
      </c>
      <c r="G53" s="53">
        <f t="shared" si="8"/>
        <v>0.4786539602750724</v>
      </c>
      <c r="H53" s="53">
        <f t="shared" si="8"/>
        <v>0.51593759529883298</v>
      </c>
      <c r="I53" s="53">
        <f t="shared" si="8"/>
        <v>0.55440967929605123</v>
      </c>
      <c r="J53" s="53">
        <f t="shared" si="8"/>
        <v>0.60208775654635527</v>
      </c>
      <c r="K53" s="53">
        <f t="shared" si="8"/>
        <v>0.68700660050656026</v>
      </c>
      <c r="L53" s="53">
        <f t="shared" si="8"/>
        <v>0.75741450787286624</v>
      </c>
      <c r="M53" s="53">
        <f t="shared" si="8"/>
        <v>0.77853640620695985</v>
      </c>
      <c r="N53" s="53">
        <f t="shared" si="8"/>
        <v>0.79107071837852971</v>
      </c>
      <c r="O53" s="53">
        <f t="shared" si="8"/>
        <v>0.80397695501755062</v>
      </c>
      <c r="P53" s="67">
        <f t="shared" si="8"/>
        <v>0.80778596082105047</v>
      </c>
    </row>
    <row r="54" spans="2:16" ht="18.95" customHeight="1" x14ac:dyDescent="0.25">
      <c r="B54" s="81" t="s">
        <v>51</v>
      </c>
      <c r="C54" s="93">
        <f>D54*'tertiaire ancienne série'!C69/'tertiaire ancienne série'!D69</f>
        <v>19818.578920175663</v>
      </c>
      <c r="D54" s="94">
        <f>E54*'tertiaire ancienne série'!D69/'tertiaire ancienne série'!E69</f>
        <v>20376.13484887626</v>
      </c>
      <c r="E54" s="94">
        <f>F54*'tertiaire ancienne série'!E69/'tertiaire ancienne série'!F69</f>
        <v>18855.527770601911</v>
      </c>
      <c r="F54" s="94">
        <f>'emploi 38'!C31</f>
        <v>19620.900000000001</v>
      </c>
      <c r="G54" s="94">
        <f>'emploi 38'!D31</f>
        <v>20052.900000000001</v>
      </c>
      <c r="H54" s="94">
        <f>'emploi 38'!E31</f>
        <v>20658.7</v>
      </c>
      <c r="I54" s="94">
        <f>'emploi 38'!F31</f>
        <v>22001.599999999999</v>
      </c>
      <c r="J54" s="94">
        <f>'emploi 38'!G31</f>
        <v>22608</v>
      </c>
      <c r="K54" s="94">
        <f>'emploi 38'!H31</f>
        <v>23649.7</v>
      </c>
      <c r="L54" s="94">
        <f>'emploi 38'!I31</f>
        <v>25689.5</v>
      </c>
      <c r="M54" s="94">
        <f>'emploi 38'!J31</f>
        <v>27227.5</v>
      </c>
      <c r="N54" s="94">
        <f>'emploi 38'!K31</f>
        <v>27155.599999999999</v>
      </c>
      <c r="O54" s="94">
        <f>'emploi 38'!L31</f>
        <v>27719.7</v>
      </c>
      <c r="P54" s="95">
        <f>'emploi 38'!M31</f>
        <v>30102.9</v>
      </c>
    </row>
    <row r="55" spans="2:16" ht="6.75" customHeight="1" x14ac:dyDescent="0.2"/>
    <row r="56" spans="2:16" ht="15" x14ac:dyDescent="0.2">
      <c r="B56" s="115" t="s">
        <v>274</v>
      </c>
    </row>
    <row r="57" spans="2:16" ht="15" x14ac:dyDescent="0.2">
      <c r="B57" s="115"/>
    </row>
    <row r="58" spans="2:16" x14ac:dyDescent="0.2">
      <c r="F58" s="46">
        <f>F33+F25+F26</f>
        <v>790.75967405678966</v>
      </c>
      <c r="G58" s="46">
        <f t="shared" ref="G58:P58" si="9">G33+G25+G26</f>
        <v>778.5</v>
      </c>
      <c r="H58" s="46">
        <f t="shared" si="9"/>
        <v>777.40000000000009</v>
      </c>
      <c r="I58" s="46">
        <f t="shared" si="9"/>
        <v>782.90000000000009</v>
      </c>
      <c r="J58" s="46">
        <f t="shared" si="9"/>
        <v>793.4</v>
      </c>
      <c r="K58" s="46">
        <f t="shared" si="9"/>
        <v>914.9</v>
      </c>
      <c r="L58" s="46">
        <f t="shared" si="9"/>
        <v>1420.5</v>
      </c>
      <c r="M58" s="46">
        <f t="shared" si="9"/>
        <v>1473.6999999999998</v>
      </c>
      <c r="N58" s="46">
        <f t="shared" si="9"/>
        <v>1554.3</v>
      </c>
      <c r="O58" s="46">
        <f t="shared" si="9"/>
        <v>1618.8</v>
      </c>
      <c r="P58" s="46">
        <f t="shared" si="9"/>
        <v>1751.2</v>
      </c>
    </row>
    <row r="59" spans="2:16" ht="18" x14ac:dyDescent="0.25">
      <c r="F59" s="113">
        <f>'emploi 38'!C26</f>
        <v>3477.7</v>
      </c>
      <c r="G59" s="113">
        <f>'emploi 38'!D26</f>
        <v>3904.4</v>
      </c>
      <c r="H59" s="113">
        <f>'emploi 38'!E26</f>
        <v>4139.6000000000004</v>
      </c>
      <c r="I59" s="113">
        <f>'emploi 38'!F26</f>
        <v>4720.5</v>
      </c>
      <c r="J59" s="113">
        <f>'emploi 38'!G26</f>
        <v>5389.1</v>
      </c>
      <c r="K59" s="113">
        <f>'emploi 38'!H26</f>
        <v>6518.2</v>
      </c>
      <c r="L59" s="113">
        <f>'emploi 38'!I26</f>
        <v>7614.2</v>
      </c>
      <c r="M59" s="113">
        <f>'emploi 38'!J26</f>
        <v>8142.9</v>
      </c>
      <c r="N59" s="113">
        <f>'emploi 38'!K26</f>
        <v>8246.7999999999993</v>
      </c>
      <c r="O59" s="113">
        <f>'emploi 38'!L26</f>
        <v>8524.2999999999993</v>
      </c>
      <c r="P59" s="113">
        <f>'emploi 38'!M26</f>
        <v>8770.1</v>
      </c>
    </row>
    <row r="61" spans="2:16" x14ac:dyDescent="0.2">
      <c r="B61" s="15" t="s">
        <v>84</v>
      </c>
      <c r="C61" s="46">
        <f>C28+C32+C41+C43+C45</f>
        <v>5832.0147561038457</v>
      </c>
      <c r="D61" s="46">
        <f t="shared" ref="D61:P61" si="10">D28+D32+D41+D43+D45</f>
        <v>6692.87884472102</v>
      </c>
      <c r="E61" s="46">
        <f t="shared" si="10"/>
        <v>7241.363307644353</v>
      </c>
      <c r="F61" s="114">
        <f t="shared" si="10"/>
        <v>8513.8571923954787</v>
      </c>
      <c r="G61" s="114">
        <f t="shared" si="10"/>
        <v>9598.1999999999989</v>
      </c>
      <c r="H61" s="114">
        <f t="shared" si="10"/>
        <v>10658.6</v>
      </c>
      <c r="I61" s="46">
        <f t="shared" si="10"/>
        <v>12197.899999999998</v>
      </c>
      <c r="J61" s="46">
        <f t="shared" si="10"/>
        <v>13612</v>
      </c>
      <c r="K61" s="46">
        <f t="shared" si="10"/>
        <v>16247.5</v>
      </c>
      <c r="L61" s="46">
        <f t="shared" si="10"/>
        <v>19457.8</v>
      </c>
      <c r="M61" s="46">
        <f t="shared" si="10"/>
        <v>21197.5</v>
      </c>
      <c r="N61" s="46">
        <f t="shared" si="10"/>
        <v>21481.8</v>
      </c>
      <c r="O61" s="46">
        <f t="shared" si="10"/>
        <v>22285.899999999998</v>
      </c>
      <c r="P61" s="46">
        <f t="shared" si="10"/>
        <v>24316.7</v>
      </c>
    </row>
    <row r="64" spans="2:16" x14ac:dyDescent="0.2">
      <c r="F64" s="46">
        <f>F36+F37+F38+F39</f>
        <v>3478.2975183386893</v>
      </c>
    </row>
    <row r="66" spans="6:10" x14ac:dyDescent="0.2">
      <c r="F66" s="17"/>
      <c r="G66" s="17"/>
      <c r="H66" s="17"/>
      <c r="I66" s="17"/>
      <c r="J66" s="17"/>
    </row>
    <row r="163" spans="2:2" x14ac:dyDescent="0.2">
      <c r="B163" s="16"/>
    </row>
    <row r="189" spans="2:2" x14ac:dyDescent="0.2">
      <c r="B189" s="16"/>
    </row>
    <row r="190" spans="2:2" x14ac:dyDescent="0.2">
      <c r="B190" s="16"/>
    </row>
    <row r="216" spans="2:2" x14ac:dyDescent="0.2">
      <c r="B216" s="16"/>
    </row>
    <row r="244" spans="2:2" x14ac:dyDescent="0.2">
      <c r="B244" s="16"/>
    </row>
    <row r="245" spans="2:2" x14ac:dyDescent="0.2">
      <c r="B245" s="16"/>
    </row>
    <row r="263" spans="2:2" x14ac:dyDescent="0.2">
      <c r="B263" s="16"/>
    </row>
    <row r="271" spans="2:2" x14ac:dyDescent="0.2">
      <c r="B271" s="16"/>
    </row>
    <row r="272" spans="2:2" x14ac:dyDescent="0.2">
      <c r="B272" s="16"/>
    </row>
    <row r="291" spans="2:2" x14ac:dyDescent="0.2">
      <c r="B291" s="16"/>
    </row>
    <row r="299" spans="2:2" x14ac:dyDescent="0.2">
      <c r="B299" s="16"/>
    </row>
    <row r="300" spans="2:2" x14ac:dyDescent="0.2">
      <c r="B300" s="16"/>
    </row>
    <row r="301" spans="2:2" x14ac:dyDescent="0.2">
      <c r="B301" s="15" t="s">
        <v>25</v>
      </c>
    </row>
    <row r="302" spans="2:2" x14ac:dyDescent="0.2">
      <c r="B302" s="15" t="s">
        <v>26</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F36B3-C328-48C6-8966-B5854AA2000A}">
  <dimension ref="A1:N34"/>
  <sheetViews>
    <sheetView topLeftCell="A10" workbookViewId="0">
      <selection activeCell="A33" sqref="A33"/>
    </sheetView>
  </sheetViews>
  <sheetFormatPr baseColWidth="10" defaultColWidth="9.140625" defaultRowHeight="12.75" x14ac:dyDescent="0.2"/>
  <cols>
    <col min="1" max="1" width="24.42578125" bestFit="1" customWidth="1"/>
    <col min="2" max="2" width="63.85546875" customWidth="1"/>
    <col min="3" max="14" width="13" customWidth="1"/>
  </cols>
  <sheetData>
    <row r="1" spans="1:14" x14ac:dyDescent="0.2">
      <c r="A1" s="101" t="s">
        <v>110</v>
      </c>
    </row>
    <row r="2" spans="1:14" x14ac:dyDescent="0.2">
      <c r="A2" s="101" t="s">
        <v>101</v>
      </c>
    </row>
    <row r="3" spans="1:14" x14ac:dyDescent="0.2">
      <c r="A3" s="102" t="s">
        <v>111</v>
      </c>
    </row>
    <row r="5" spans="1:14" ht="12.75" customHeight="1" x14ac:dyDescent="0.2">
      <c r="C5" s="103" t="s">
        <v>112</v>
      </c>
      <c r="D5" s="103" t="s">
        <v>113</v>
      </c>
      <c r="E5" s="103" t="s">
        <v>114</v>
      </c>
      <c r="F5" s="103" t="s">
        <v>115</v>
      </c>
      <c r="G5" s="103" t="s">
        <v>116</v>
      </c>
      <c r="H5" s="103" t="s">
        <v>117</v>
      </c>
      <c r="I5" s="103" t="s">
        <v>118</v>
      </c>
      <c r="J5" s="103" t="s">
        <v>119</v>
      </c>
      <c r="K5" s="103" t="s">
        <v>120</v>
      </c>
      <c r="L5" s="103" t="s">
        <v>121</v>
      </c>
      <c r="M5" s="103" t="s">
        <v>122</v>
      </c>
      <c r="N5" s="103" t="s">
        <v>123</v>
      </c>
    </row>
    <row r="6" spans="1:14" x14ac:dyDescent="0.2">
      <c r="A6" s="103" t="s">
        <v>124</v>
      </c>
      <c r="B6" s="103" t="s">
        <v>125</v>
      </c>
      <c r="C6" s="104">
        <v>5036</v>
      </c>
      <c r="D6" s="104">
        <v>5694</v>
      </c>
      <c r="E6" s="104">
        <v>6519</v>
      </c>
      <c r="F6" s="104">
        <v>7477.4</v>
      </c>
      <c r="G6" s="104">
        <v>8222.9</v>
      </c>
      <c r="H6" s="104">
        <v>9729.2999999999993</v>
      </c>
      <c r="I6" s="104">
        <v>11843.4</v>
      </c>
      <c r="J6" s="104">
        <v>13054.7</v>
      </c>
      <c r="K6" s="104">
        <v>13235.2</v>
      </c>
      <c r="L6" s="104">
        <v>13761.7</v>
      </c>
      <c r="M6" s="104">
        <v>15546.6</v>
      </c>
      <c r="N6" s="104">
        <v>15786.2</v>
      </c>
    </row>
    <row r="7" spans="1:14" x14ac:dyDescent="0.2">
      <c r="A7" s="103" t="s">
        <v>126</v>
      </c>
      <c r="B7" s="103" t="s">
        <v>127</v>
      </c>
      <c r="C7" s="104">
        <v>3046.4</v>
      </c>
      <c r="D7" s="104">
        <v>3481.6</v>
      </c>
      <c r="E7" s="104">
        <v>3915.1</v>
      </c>
      <c r="F7" s="104">
        <v>4302.2</v>
      </c>
      <c r="G7" s="104">
        <v>4531.7</v>
      </c>
      <c r="H7" s="104">
        <v>4974.5</v>
      </c>
      <c r="I7" s="104">
        <v>5450.2</v>
      </c>
      <c r="J7" s="104">
        <v>5946.5</v>
      </c>
      <c r="K7" s="104">
        <v>5984.7</v>
      </c>
      <c r="L7" s="104">
        <v>6057.2</v>
      </c>
      <c r="M7" s="104">
        <v>6704.6</v>
      </c>
      <c r="N7" s="104">
        <v>6775.5</v>
      </c>
    </row>
    <row r="8" spans="1:14" x14ac:dyDescent="0.2">
      <c r="A8" s="103" t="s">
        <v>128</v>
      </c>
      <c r="B8" s="103" t="s">
        <v>129</v>
      </c>
      <c r="C8" s="104">
        <v>1789.7</v>
      </c>
      <c r="D8" s="104">
        <v>2110.5</v>
      </c>
      <c r="E8" s="104">
        <v>2425.1999999999998</v>
      </c>
      <c r="F8" s="104">
        <v>2677.3</v>
      </c>
      <c r="G8" s="104">
        <v>2830.9</v>
      </c>
      <c r="H8" s="104">
        <v>3001</v>
      </c>
      <c r="I8" s="104">
        <v>3182.7</v>
      </c>
      <c r="J8" s="104">
        <v>3458.2</v>
      </c>
      <c r="K8" s="104">
        <v>3458</v>
      </c>
      <c r="L8" s="104">
        <v>3455.6</v>
      </c>
      <c r="M8" s="104">
        <v>3781.5</v>
      </c>
      <c r="N8" s="104">
        <v>3798.7</v>
      </c>
    </row>
    <row r="9" spans="1:14" x14ac:dyDescent="0.2">
      <c r="A9" s="103" t="s">
        <v>130</v>
      </c>
      <c r="B9" s="103" t="s">
        <v>131</v>
      </c>
      <c r="C9" s="104">
        <v>780</v>
      </c>
      <c r="D9" s="104">
        <v>857.4</v>
      </c>
      <c r="E9" s="104">
        <v>953.4</v>
      </c>
      <c r="F9" s="104">
        <v>1037.8</v>
      </c>
      <c r="G9" s="104">
        <v>1110.7</v>
      </c>
      <c r="H9" s="104">
        <v>1195.9000000000001</v>
      </c>
      <c r="I9" s="104">
        <v>1322.2</v>
      </c>
      <c r="J9" s="104">
        <v>1406.3</v>
      </c>
      <c r="K9" s="104">
        <v>1377.8</v>
      </c>
      <c r="L9" s="104">
        <v>1389.1</v>
      </c>
      <c r="M9" s="104">
        <v>1537</v>
      </c>
      <c r="N9" s="104">
        <v>1544.3</v>
      </c>
    </row>
    <row r="10" spans="1:14" x14ac:dyDescent="0.2">
      <c r="A10" s="103" t="s">
        <v>132</v>
      </c>
      <c r="B10" s="103" t="s">
        <v>133</v>
      </c>
      <c r="C10" s="104">
        <v>476.8</v>
      </c>
      <c r="D10" s="104">
        <v>513.70000000000005</v>
      </c>
      <c r="E10" s="104">
        <v>536.5</v>
      </c>
      <c r="F10" s="104">
        <v>587</v>
      </c>
      <c r="G10" s="104">
        <v>590.1</v>
      </c>
      <c r="H10" s="104">
        <v>777.6</v>
      </c>
      <c r="I10" s="104">
        <v>945.4</v>
      </c>
      <c r="J10" s="104">
        <v>1082</v>
      </c>
      <c r="K10" s="104">
        <v>1148.8</v>
      </c>
      <c r="L10" s="104">
        <v>1212.5</v>
      </c>
      <c r="M10" s="104">
        <v>1386.1</v>
      </c>
      <c r="N10" s="104">
        <v>1432.5</v>
      </c>
    </row>
    <row r="11" spans="1:14" x14ac:dyDescent="0.2">
      <c r="A11" s="103" t="s">
        <v>134</v>
      </c>
      <c r="B11" s="103" t="s">
        <v>135</v>
      </c>
      <c r="C11" s="104">
        <v>202.7</v>
      </c>
      <c r="D11" s="104">
        <v>251.9</v>
      </c>
      <c r="E11" s="104">
        <v>307.60000000000002</v>
      </c>
      <c r="F11" s="104">
        <v>373.9</v>
      </c>
      <c r="G11" s="104">
        <v>437.8</v>
      </c>
      <c r="H11" s="104">
        <v>570.79999999999995</v>
      </c>
      <c r="I11" s="104">
        <v>776.1</v>
      </c>
      <c r="J11" s="104">
        <v>838.8</v>
      </c>
      <c r="K11" s="104">
        <v>846.6</v>
      </c>
      <c r="L11" s="104">
        <v>913.9</v>
      </c>
      <c r="M11" s="104">
        <v>1127.5999999999999</v>
      </c>
      <c r="N11" s="104">
        <v>1167.5</v>
      </c>
    </row>
    <row r="12" spans="1:14" x14ac:dyDescent="0.2">
      <c r="A12" s="103" t="s">
        <v>136</v>
      </c>
      <c r="B12" s="103" t="s">
        <v>137</v>
      </c>
      <c r="D12" s="104">
        <v>91.6</v>
      </c>
      <c r="E12" s="104">
        <v>104.4</v>
      </c>
      <c r="F12" s="104">
        <v>124.4</v>
      </c>
      <c r="G12" s="104">
        <v>136.4</v>
      </c>
      <c r="H12" s="104">
        <v>174.8</v>
      </c>
      <c r="I12" s="104">
        <v>215.5</v>
      </c>
      <c r="J12" s="104">
        <v>221.1</v>
      </c>
      <c r="K12" s="104">
        <v>214.1</v>
      </c>
      <c r="L12" s="104">
        <v>213.8</v>
      </c>
      <c r="M12" s="104">
        <v>253.5</v>
      </c>
    </row>
    <row r="13" spans="1:14" x14ac:dyDescent="0.2">
      <c r="A13" s="103" t="s">
        <v>138</v>
      </c>
      <c r="B13" s="103" t="s">
        <v>139</v>
      </c>
      <c r="D13" s="104">
        <v>85</v>
      </c>
      <c r="E13" s="104">
        <v>102.3</v>
      </c>
      <c r="F13" s="104">
        <v>117</v>
      </c>
      <c r="G13" s="104">
        <v>135.9</v>
      </c>
      <c r="H13" s="104">
        <v>142.69999999999999</v>
      </c>
      <c r="I13" s="104">
        <v>149.6</v>
      </c>
      <c r="J13" s="104">
        <v>132.69999999999999</v>
      </c>
      <c r="K13" s="104">
        <v>121.5</v>
      </c>
      <c r="L13" s="104">
        <v>104.4</v>
      </c>
      <c r="M13" s="104">
        <v>97.4</v>
      </c>
    </row>
    <row r="14" spans="1:14" x14ac:dyDescent="0.2">
      <c r="A14" s="103" t="s">
        <v>140</v>
      </c>
      <c r="B14" s="103" t="s">
        <v>141</v>
      </c>
      <c r="D14" s="104">
        <v>75.400000000000006</v>
      </c>
      <c r="E14" s="104">
        <v>100.8</v>
      </c>
      <c r="F14" s="104">
        <v>132.4</v>
      </c>
      <c r="G14" s="104">
        <v>165.6</v>
      </c>
      <c r="H14" s="104">
        <v>253.3</v>
      </c>
      <c r="I14" s="104">
        <v>411</v>
      </c>
      <c r="J14" s="104">
        <v>485</v>
      </c>
      <c r="K14" s="104">
        <v>511</v>
      </c>
      <c r="L14" s="104">
        <v>595.70000000000005</v>
      </c>
      <c r="M14" s="104">
        <v>776.7</v>
      </c>
    </row>
    <row r="15" spans="1:14" x14ac:dyDescent="0.2">
      <c r="A15" s="103" t="s">
        <v>142</v>
      </c>
      <c r="B15" s="103" t="s">
        <v>143</v>
      </c>
      <c r="C15" s="104">
        <v>209.8</v>
      </c>
      <c r="D15" s="104">
        <v>274.3</v>
      </c>
      <c r="E15" s="104">
        <v>354.7</v>
      </c>
      <c r="F15" s="104">
        <v>532.4</v>
      </c>
      <c r="G15" s="104">
        <v>630.79999999999995</v>
      </c>
      <c r="H15" s="104">
        <v>701.6</v>
      </c>
      <c r="I15" s="104">
        <v>683.9</v>
      </c>
      <c r="J15" s="104">
        <v>755.3</v>
      </c>
      <c r="K15" s="104">
        <v>766</v>
      </c>
      <c r="L15" s="104">
        <v>774.4</v>
      </c>
      <c r="M15" s="104">
        <v>810.3</v>
      </c>
      <c r="N15" s="104">
        <v>823.7</v>
      </c>
    </row>
    <row r="16" spans="1:14" s="109" customFormat="1" x14ac:dyDescent="0.2">
      <c r="A16" s="107" t="s">
        <v>144</v>
      </c>
      <c r="B16" s="107" t="s">
        <v>145</v>
      </c>
      <c r="C16" s="108">
        <v>93.7</v>
      </c>
      <c r="D16" s="108">
        <v>110.4</v>
      </c>
      <c r="E16" s="108">
        <v>155.1</v>
      </c>
      <c r="F16" s="108">
        <v>208.4</v>
      </c>
      <c r="G16" s="108">
        <v>254.3</v>
      </c>
      <c r="H16" s="108">
        <v>325.2</v>
      </c>
      <c r="I16" s="108">
        <v>354.1</v>
      </c>
      <c r="J16" s="108">
        <v>380.8</v>
      </c>
      <c r="K16" s="108">
        <v>359.9</v>
      </c>
      <c r="L16" s="108">
        <v>350.3</v>
      </c>
      <c r="M16" s="108">
        <v>412.1</v>
      </c>
      <c r="N16" s="108">
        <v>412.9</v>
      </c>
    </row>
    <row r="17" spans="1:14" s="109" customFormat="1" ht="25.5" x14ac:dyDescent="0.2">
      <c r="A17" s="107" t="s">
        <v>146</v>
      </c>
      <c r="B17" s="107" t="s">
        <v>147</v>
      </c>
      <c r="C17" s="108">
        <v>692.1</v>
      </c>
      <c r="D17" s="108">
        <v>797.1</v>
      </c>
      <c r="E17" s="108">
        <v>1009.1</v>
      </c>
      <c r="F17" s="108">
        <v>1277.5999999999999</v>
      </c>
      <c r="G17" s="108">
        <v>1574.9</v>
      </c>
      <c r="H17" s="108">
        <v>2242.3000000000002</v>
      </c>
      <c r="I17" s="108">
        <v>3158.7</v>
      </c>
      <c r="J17" s="108">
        <v>3659.5</v>
      </c>
      <c r="K17" s="108">
        <v>3723.6</v>
      </c>
      <c r="L17" s="108">
        <v>4047.1</v>
      </c>
      <c r="M17" s="108">
        <v>4740.7</v>
      </c>
      <c r="N17" s="108">
        <v>4820.3999999999996</v>
      </c>
    </row>
    <row r="18" spans="1:14" ht="25.5" x14ac:dyDescent="0.2">
      <c r="A18" s="103" t="s">
        <v>148</v>
      </c>
      <c r="B18" s="103" t="s">
        <v>149</v>
      </c>
      <c r="D18" s="104">
        <v>197.4</v>
      </c>
      <c r="E18" s="104">
        <v>269.60000000000002</v>
      </c>
      <c r="F18" s="104">
        <v>349.2</v>
      </c>
      <c r="G18" s="104">
        <v>431.3</v>
      </c>
      <c r="H18" s="104">
        <v>667.8</v>
      </c>
      <c r="I18" s="104">
        <v>854.7</v>
      </c>
      <c r="J18" s="104">
        <v>1067.2</v>
      </c>
      <c r="K18" s="104">
        <v>1130.3</v>
      </c>
      <c r="L18" s="104">
        <v>1273.5999999999999</v>
      </c>
      <c r="M18" s="104">
        <v>1558.8</v>
      </c>
    </row>
    <row r="19" spans="1:14" x14ac:dyDescent="0.2">
      <c r="A19" s="103" t="s">
        <v>150</v>
      </c>
      <c r="B19" s="103" t="s">
        <v>151</v>
      </c>
      <c r="D19" s="104">
        <v>141.5</v>
      </c>
      <c r="E19" s="104">
        <v>155</v>
      </c>
      <c r="F19" s="104">
        <v>182.8</v>
      </c>
      <c r="G19" s="104">
        <v>213.8</v>
      </c>
      <c r="H19" s="104">
        <v>258.2</v>
      </c>
      <c r="I19" s="104">
        <v>271.10000000000002</v>
      </c>
      <c r="J19" s="104">
        <v>284.89999999999998</v>
      </c>
      <c r="K19" s="104">
        <v>318.10000000000002</v>
      </c>
      <c r="L19" s="104">
        <v>329.2</v>
      </c>
      <c r="M19" s="104">
        <v>335.4</v>
      </c>
    </row>
    <row r="20" spans="1:14" x14ac:dyDescent="0.2">
      <c r="A20" s="103" t="s">
        <v>152</v>
      </c>
      <c r="B20" s="103" t="s">
        <v>153</v>
      </c>
      <c r="D20" s="104">
        <v>81</v>
      </c>
      <c r="E20" s="104">
        <v>97.7</v>
      </c>
      <c r="F20" s="104">
        <v>121</v>
      </c>
      <c r="G20" s="104">
        <v>148.80000000000001</v>
      </c>
      <c r="H20" s="104">
        <v>211.8</v>
      </c>
      <c r="I20" s="104">
        <v>244.4</v>
      </c>
      <c r="J20" s="104">
        <v>249.5</v>
      </c>
      <c r="K20" s="104">
        <v>247.3</v>
      </c>
      <c r="L20" s="104">
        <v>269.39999999999998</v>
      </c>
      <c r="M20" s="104">
        <v>315.10000000000002</v>
      </c>
    </row>
    <row r="21" spans="1:14" x14ac:dyDescent="0.2">
      <c r="A21" s="103" t="s">
        <v>154</v>
      </c>
      <c r="B21" s="103" t="s">
        <v>155</v>
      </c>
      <c r="D21" s="104">
        <v>377.2</v>
      </c>
      <c r="E21" s="104">
        <v>486.9</v>
      </c>
      <c r="F21" s="104">
        <v>624.6</v>
      </c>
      <c r="G21" s="104">
        <v>780.9</v>
      </c>
      <c r="H21" s="104">
        <v>1104.5999999999999</v>
      </c>
      <c r="I21" s="104">
        <v>1788.6</v>
      </c>
      <c r="J21" s="104">
        <v>2057.9</v>
      </c>
      <c r="K21" s="104">
        <v>2027.9</v>
      </c>
      <c r="L21" s="104">
        <v>2174.9</v>
      </c>
      <c r="M21" s="104">
        <v>2531.4</v>
      </c>
    </row>
    <row r="22" spans="1:14" ht="25.5" x14ac:dyDescent="0.2">
      <c r="A22" s="103" t="s">
        <v>156</v>
      </c>
      <c r="B22" s="103" t="s">
        <v>157</v>
      </c>
      <c r="C22" s="104">
        <v>791.2</v>
      </c>
      <c r="D22" s="104">
        <v>778.6</v>
      </c>
      <c r="E22" s="104">
        <v>777.4</v>
      </c>
      <c r="F22" s="104">
        <v>782.9</v>
      </c>
      <c r="G22" s="104">
        <v>793.3</v>
      </c>
      <c r="H22" s="104">
        <v>914.9</v>
      </c>
      <c r="I22" s="104">
        <v>1420.4</v>
      </c>
      <c r="J22" s="104">
        <v>1473.8</v>
      </c>
      <c r="K22" s="104">
        <v>1554.4</v>
      </c>
      <c r="L22" s="104">
        <v>1618.8</v>
      </c>
      <c r="M22" s="104">
        <v>1751.2</v>
      </c>
      <c r="N22" s="104">
        <v>1786.3</v>
      </c>
    </row>
    <row r="23" spans="1:14" x14ac:dyDescent="0.2">
      <c r="A23" s="103" t="s">
        <v>158</v>
      </c>
      <c r="B23" s="103" t="s">
        <v>159</v>
      </c>
      <c r="D23" s="104">
        <v>140.69999999999999</v>
      </c>
      <c r="E23" s="104">
        <v>157.19999999999999</v>
      </c>
      <c r="F23" s="104">
        <v>196.2</v>
      </c>
      <c r="G23" s="104">
        <v>226.1</v>
      </c>
      <c r="H23" s="104">
        <v>292</v>
      </c>
      <c r="I23" s="104">
        <v>406.4</v>
      </c>
      <c r="J23" s="104">
        <v>538.1</v>
      </c>
      <c r="K23" s="104">
        <v>570.79999999999995</v>
      </c>
      <c r="L23" s="104">
        <v>604.5</v>
      </c>
      <c r="M23" s="104">
        <v>646.5</v>
      </c>
    </row>
    <row r="24" spans="1:14" x14ac:dyDescent="0.2">
      <c r="A24" s="103" t="s">
        <v>160</v>
      </c>
      <c r="B24" s="103" t="s">
        <v>161</v>
      </c>
      <c r="D24" s="104">
        <v>544.9</v>
      </c>
      <c r="E24" s="104">
        <v>532.1</v>
      </c>
      <c r="F24" s="104">
        <v>511</v>
      </c>
      <c r="G24" s="104">
        <v>508.9</v>
      </c>
      <c r="H24" s="104">
        <v>555.9</v>
      </c>
      <c r="I24" s="104">
        <v>881.5</v>
      </c>
      <c r="J24" s="104">
        <v>750.8</v>
      </c>
      <c r="K24" s="104">
        <v>801.2</v>
      </c>
      <c r="L24" s="104">
        <v>862.1</v>
      </c>
      <c r="M24" s="104">
        <v>965.4</v>
      </c>
    </row>
    <row r="25" spans="1:14" ht="38.25" x14ac:dyDescent="0.2">
      <c r="A25" s="103" t="s">
        <v>162</v>
      </c>
      <c r="B25" s="103" t="s">
        <v>163</v>
      </c>
      <c r="D25" s="104">
        <v>92.9</v>
      </c>
      <c r="E25" s="104">
        <v>88.1</v>
      </c>
      <c r="F25" s="104">
        <v>75.7</v>
      </c>
      <c r="G25" s="104">
        <v>58.4</v>
      </c>
      <c r="H25" s="104">
        <v>67</v>
      </c>
      <c r="I25" s="104">
        <v>132.6</v>
      </c>
      <c r="J25" s="104">
        <v>184.8</v>
      </c>
      <c r="K25" s="104">
        <v>182.3</v>
      </c>
      <c r="L25" s="104">
        <v>152.19999999999999</v>
      </c>
      <c r="M25" s="104">
        <v>139.30000000000001</v>
      </c>
    </row>
    <row r="26" spans="1:14" x14ac:dyDescent="0.2">
      <c r="A26" s="103" t="s">
        <v>164</v>
      </c>
      <c r="B26" s="103" t="s">
        <v>165</v>
      </c>
      <c r="C26" s="104">
        <v>3477.7</v>
      </c>
      <c r="D26" s="104">
        <v>3904.4</v>
      </c>
      <c r="E26" s="104">
        <v>4139.6000000000004</v>
      </c>
      <c r="F26" s="104">
        <v>4720.5</v>
      </c>
      <c r="G26" s="104">
        <v>5389.1</v>
      </c>
      <c r="H26" s="104">
        <v>6518.2</v>
      </c>
      <c r="I26" s="104">
        <v>7614.2</v>
      </c>
      <c r="J26" s="104">
        <v>8142.9</v>
      </c>
      <c r="K26" s="104">
        <v>8246.7999999999993</v>
      </c>
      <c r="L26" s="104">
        <v>8524.2999999999993</v>
      </c>
      <c r="M26" s="104">
        <v>8770.1</v>
      </c>
      <c r="N26" s="104">
        <v>8814.1</v>
      </c>
    </row>
    <row r="27" spans="1:14" x14ac:dyDescent="0.2">
      <c r="A27" s="103" t="s">
        <v>166</v>
      </c>
      <c r="B27" s="103" t="s">
        <v>167</v>
      </c>
      <c r="D27" s="104">
        <v>1558.5</v>
      </c>
      <c r="E27" s="104">
        <v>1538.2</v>
      </c>
      <c r="F27" s="104">
        <v>1765.6</v>
      </c>
      <c r="G27" s="104">
        <v>2021.1</v>
      </c>
      <c r="H27" s="104">
        <v>2350.9</v>
      </c>
      <c r="I27" s="104">
        <v>2590.6</v>
      </c>
      <c r="J27" s="104">
        <v>2523.9</v>
      </c>
      <c r="K27" s="104">
        <v>2425.1999999999998</v>
      </c>
      <c r="L27" s="104">
        <v>2417.1999999999998</v>
      </c>
      <c r="M27" s="104">
        <v>2478.6999999999998</v>
      </c>
    </row>
    <row r="28" spans="1:14" x14ac:dyDescent="0.2">
      <c r="A28" s="103" t="s">
        <v>168</v>
      </c>
      <c r="B28" s="103" t="s">
        <v>169</v>
      </c>
      <c r="D28" s="104">
        <v>938.1</v>
      </c>
      <c r="E28" s="104">
        <v>1027.9000000000001</v>
      </c>
      <c r="F28" s="104">
        <v>1161.5</v>
      </c>
      <c r="G28" s="104">
        <v>1331.9</v>
      </c>
      <c r="H28" s="104">
        <v>1636.2</v>
      </c>
      <c r="I28" s="104">
        <v>1840.2</v>
      </c>
      <c r="J28" s="104">
        <v>1930.2</v>
      </c>
      <c r="K28" s="104">
        <v>1924.1</v>
      </c>
      <c r="L28" s="104">
        <v>2017.6</v>
      </c>
      <c r="M28" s="104">
        <v>2049.1</v>
      </c>
    </row>
    <row r="29" spans="1:14" x14ac:dyDescent="0.2">
      <c r="A29" s="103" t="s">
        <v>170</v>
      </c>
      <c r="B29" s="103" t="s">
        <v>171</v>
      </c>
      <c r="D29" s="104">
        <v>859.2</v>
      </c>
      <c r="E29" s="104">
        <v>970.9</v>
      </c>
      <c r="F29" s="104">
        <v>1119.3</v>
      </c>
      <c r="G29" s="104">
        <v>1292.3</v>
      </c>
      <c r="H29" s="104">
        <v>1619</v>
      </c>
      <c r="I29" s="104">
        <v>1606</v>
      </c>
      <c r="J29" s="104">
        <v>1798.1</v>
      </c>
      <c r="K29" s="104">
        <v>1888.3</v>
      </c>
      <c r="L29" s="104">
        <v>2010</v>
      </c>
      <c r="M29" s="104">
        <v>2120.1999999999998</v>
      </c>
    </row>
    <row r="30" spans="1:14" ht="25.5" x14ac:dyDescent="0.2">
      <c r="A30" s="103" t="s">
        <v>172</v>
      </c>
      <c r="B30" s="103" t="s">
        <v>173</v>
      </c>
      <c r="D30" s="104">
        <v>548.6</v>
      </c>
      <c r="E30" s="104">
        <v>602.6</v>
      </c>
      <c r="F30" s="104">
        <v>674.2</v>
      </c>
      <c r="G30" s="104">
        <v>743.8</v>
      </c>
      <c r="H30" s="104">
        <v>912.1</v>
      </c>
      <c r="I30" s="104">
        <v>1577.4</v>
      </c>
      <c r="J30" s="104">
        <v>1890.7</v>
      </c>
      <c r="K30" s="104">
        <v>2009.2</v>
      </c>
      <c r="L30" s="104">
        <v>2079.4</v>
      </c>
      <c r="M30" s="104">
        <v>2122.1999999999998</v>
      </c>
    </row>
    <row r="31" spans="1:14" x14ac:dyDescent="0.2">
      <c r="A31" s="105" t="s">
        <v>174</v>
      </c>
      <c r="B31" s="105" t="s">
        <v>15</v>
      </c>
      <c r="C31" s="104">
        <v>19620.900000000001</v>
      </c>
      <c r="D31" s="104">
        <v>20052.900000000001</v>
      </c>
      <c r="E31" s="104">
        <v>20658.7</v>
      </c>
      <c r="F31" s="104">
        <v>22001.599999999999</v>
      </c>
      <c r="G31" s="104">
        <v>22608</v>
      </c>
      <c r="H31" s="104">
        <v>23649.7</v>
      </c>
      <c r="I31" s="104">
        <v>25689.5</v>
      </c>
      <c r="J31" s="104">
        <v>27227.5</v>
      </c>
      <c r="K31" s="104">
        <v>27155.599999999999</v>
      </c>
      <c r="L31" s="104">
        <v>27719.7</v>
      </c>
      <c r="M31" s="104">
        <v>30102.9</v>
      </c>
      <c r="N31" s="104">
        <v>30423.599999999999</v>
      </c>
    </row>
    <row r="33" spans="1:1" x14ac:dyDescent="0.2">
      <c r="A33" s="106" t="s">
        <v>175</v>
      </c>
    </row>
    <row r="34" spans="1:1" x14ac:dyDescent="0.2">
      <c r="A34" s="4" t="s">
        <v>176</v>
      </c>
    </row>
  </sheetData>
  <hyperlinks>
    <hyperlink ref="A33" r:id="rId1" xr:uid="{31CF1154-C11F-42ED-AB7D-6B75BFFF85B8}"/>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58DE-E179-4F4E-BA3F-AAEADBF54EAA}">
  <dimension ref="A1:H67"/>
  <sheetViews>
    <sheetView workbookViewId="0">
      <selection activeCell="H1" sqref="H1:L1048576"/>
    </sheetView>
  </sheetViews>
  <sheetFormatPr baseColWidth="10" defaultColWidth="9.140625" defaultRowHeight="12.75" x14ac:dyDescent="0.2"/>
  <cols>
    <col min="1" max="1" width="24.42578125" bestFit="1" customWidth="1"/>
    <col min="2" max="2" width="130" bestFit="1" customWidth="1"/>
    <col min="3" max="8" width="13" customWidth="1"/>
  </cols>
  <sheetData>
    <row r="1" spans="1:8" x14ac:dyDescent="0.2">
      <c r="A1" s="101" t="s">
        <v>177</v>
      </c>
    </row>
    <row r="2" spans="1:8" x14ac:dyDescent="0.2">
      <c r="A2" s="101" t="s">
        <v>101</v>
      </c>
    </row>
    <row r="3" spans="1:8" x14ac:dyDescent="0.2">
      <c r="A3" s="102" t="s">
        <v>111</v>
      </c>
    </row>
    <row r="5" spans="1:8" ht="12.75" customHeight="1" x14ac:dyDescent="0.2">
      <c r="C5" s="103" t="s">
        <v>117</v>
      </c>
      <c r="D5" s="103" t="s">
        <v>118</v>
      </c>
      <c r="E5" s="103" t="s">
        <v>119</v>
      </c>
      <c r="F5" s="103" t="s">
        <v>120</v>
      </c>
      <c r="G5" s="103" t="s">
        <v>121</v>
      </c>
      <c r="H5" s="103" t="s">
        <v>122</v>
      </c>
    </row>
    <row r="6" spans="1:8" x14ac:dyDescent="0.2">
      <c r="A6" s="103" t="s">
        <v>178</v>
      </c>
      <c r="B6" s="103" t="s">
        <v>179</v>
      </c>
      <c r="C6" s="104">
        <v>3001</v>
      </c>
      <c r="D6" s="104">
        <v>3182.7</v>
      </c>
      <c r="E6" s="104">
        <v>3458.2</v>
      </c>
      <c r="F6" s="104">
        <v>3458</v>
      </c>
      <c r="G6" s="104">
        <v>3455.6</v>
      </c>
      <c r="H6" s="104">
        <v>3781.5</v>
      </c>
    </row>
    <row r="7" spans="1:8" x14ac:dyDescent="0.2">
      <c r="A7" s="103" t="s">
        <v>180</v>
      </c>
      <c r="B7" s="103" t="s">
        <v>181</v>
      </c>
      <c r="C7" s="104">
        <v>387.1</v>
      </c>
      <c r="D7" s="104">
        <v>439</v>
      </c>
      <c r="E7" s="104">
        <v>476.5</v>
      </c>
      <c r="F7" s="104">
        <v>476.6</v>
      </c>
      <c r="G7" s="104">
        <v>466.3</v>
      </c>
      <c r="H7" s="104">
        <v>543.5</v>
      </c>
    </row>
    <row r="8" spans="1:8" x14ac:dyDescent="0.2">
      <c r="A8" s="103" t="s">
        <v>182</v>
      </c>
      <c r="B8" s="103" t="s">
        <v>183</v>
      </c>
      <c r="C8" s="104">
        <v>886.9</v>
      </c>
      <c r="D8" s="104">
        <v>919.2</v>
      </c>
      <c r="E8" s="104">
        <v>1028.0999999999999</v>
      </c>
      <c r="F8" s="104">
        <v>962.3</v>
      </c>
      <c r="G8" s="104">
        <v>935.7</v>
      </c>
      <c r="H8" s="104">
        <v>1022.2</v>
      </c>
    </row>
    <row r="9" spans="1:8" x14ac:dyDescent="0.2">
      <c r="A9" s="103" t="s">
        <v>184</v>
      </c>
      <c r="B9" s="103" t="s">
        <v>185</v>
      </c>
      <c r="C9" s="104">
        <v>1727</v>
      </c>
      <c r="D9" s="104">
        <v>1824.5</v>
      </c>
      <c r="E9" s="104">
        <v>1953.6</v>
      </c>
      <c r="F9" s="104">
        <v>2019.1</v>
      </c>
      <c r="G9" s="104">
        <v>2053.6</v>
      </c>
      <c r="H9" s="104">
        <v>2215.9</v>
      </c>
    </row>
    <row r="10" spans="1:8" x14ac:dyDescent="0.2">
      <c r="A10" s="103" t="s">
        <v>186</v>
      </c>
      <c r="B10" s="103" t="s">
        <v>187</v>
      </c>
      <c r="C10" s="104">
        <v>1195.9000000000001</v>
      </c>
      <c r="D10" s="104">
        <v>1322.2</v>
      </c>
      <c r="E10" s="104">
        <v>1406.3</v>
      </c>
      <c r="F10" s="104">
        <v>1377.8</v>
      </c>
      <c r="G10" s="104">
        <v>1389.1</v>
      </c>
      <c r="H10" s="104">
        <v>1537</v>
      </c>
    </row>
    <row r="11" spans="1:8" x14ac:dyDescent="0.2">
      <c r="A11" s="103" t="s">
        <v>188</v>
      </c>
      <c r="B11" s="103" t="s">
        <v>189</v>
      </c>
      <c r="C11" s="104">
        <v>613.5</v>
      </c>
      <c r="D11" s="104">
        <v>643.70000000000005</v>
      </c>
      <c r="E11" s="104">
        <v>712.6</v>
      </c>
      <c r="F11" s="104">
        <v>727.3</v>
      </c>
      <c r="G11" s="104">
        <v>753</v>
      </c>
      <c r="H11" s="104">
        <v>848.7</v>
      </c>
    </row>
    <row r="12" spans="1:8" x14ac:dyDescent="0.2">
      <c r="A12" s="103" t="s">
        <v>190</v>
      </c>
      <c r="B12" s="103" t="s">
        <v>191</v>
      </c>
      <c r="C12" s="104">
        <v>19.100000000000001</v>
      </c>
      <c r="D12" s="104">
        <v>9.6999999999999993</v>
      </c>
      <c r="E12" s="104">
        <v>11.2</v>
      </c>
      <c r="F12" s="104">
        <v>12.4</v>
      </c>
      <c r="G12" s="104">
        <v>12.4</v>
      </c>
      <c r="H12" s="104">
        <v>13.3</v>
      </c>
    </row>
    <row r="13" spans="1:8" x14ac:dyDescent="0.2">
      <c r="A13" s="103" t="s">
        <v>192</v>
      </c>
      <c r="B13" s="103" t="s">
        <v>193</v>
      </c>
      <c r="C13" s="104">
        <v>54.1</v>
      </c>
      <c r="D13" s="104">
        <v>65.5</v>
      </c>
      <c r="E13" s="104">
        <v>69.400000000000006</v>
      </c>
      <c r="F13" s="104">
        <v>61.7</v>
      </c>
      <c r="G13" s="104">
        <v>55.2</v>
      </c>
      <c r="H13" s="104">
        <v>52.6</v>
      </c>
    </row>
    <row r="14" spans="1:8" x14ac:dyDescent="0.2">
      <c r="A14" s="103" t="s">
        <v>194</v>
      </c>
      <c r="B14" s="103" t="s">
        <v>195</v>
      </c>
      <c r="C14" s="104">
        <v>253.3</v>
      </c>
      <c r="D14" s="104">
        <v>331.7</v>
      </c>
      <c r="E14" s="104">
        <v>348</v>
      </c>
      <c r="F14" s="104">
        <v>330.6</v>
      </c>
      <c r="G14" s="104">
        <v>343.8</v>
      </c>
      <c r="H14" s="104">
        <v>372.1</v>
      </c>
    </row>
    <row r="15" spans="1:8" x14ac:dyDescent="0.2">
      <c r="A15" s="103" t="s">
        <v>196</v>
      </c>
      <c r="B15" s="103" t="s">
        <v>197</v>
      </c>
      <c r="C15" s="104">
        <v>255.9</v>
      </c>
      <c r="D15" s="104">
        <v>271.60000000000002</v>
      </c>
      <c r="E15" s="104">
        <v>265.2</v>
      </c>
      <c r="F15" s="104">
        <v>245.9</v>
      </c>
      <c r="G15" s="104">
        <v>224.7</v>
      </c>
      <c r="H15" s="104">
        <v>250.3</v>
      </c>
    </row>
    <row r="16" spans="1:8" x14ac:dyDescent="0.2">
      <c r="A16" s="103" t="s">
        <v>198</v>
      </c>
      <c r="B16" s="103" t="s">
        <v>102</v>
      </c>
      <c r="C16" s="104">
        <v>777.6</v>
      </c>
      <c r="D16" s="104">
        <v>945.4</v>
      </c>
      <c r="E16" s="104">
        <v>1082</v>
      </c>
      <c r="F16" s="104">
        <v>1148.8</v>
      </c>
      <c r="G16" s="104">
        <v>1212.5</v>
      </c>
      <c r="H16" s="104">
        <v>1386.1</v>
      </c>
    </row>
    <row r="17" spans="1:8" x14ac:dyDescent="0.2">
      <c r="A17" s="103" t="s">
        <v>199</v>
      </c>
      <c r="B17" s="103" t="s">
        <v>200</v>
      </c>
      <c r="C17" s="104">
        <v>146.6</v>
      </c>
      <c r="D17" s="104">
        <v>187.1</v>
      </c>
      <c r="E17" s="104">
        <v>211.7</v>
      </c>
      <c r="F17" s="104">
        <v>218.5</v>
      </c>
      <c r="G17" s="104">
        <v>217.2</v>
      </c>
      <c r="H17" s="104">
        <v>233.6</v>
      </c>
    </row>
    <row r="18" spans="1:8" x14ac:dyDescent="0.2">
      <c r="A18" s="103" t="s">
        <v>201</v>
      </c>
      <c r="B18" s="103" t="s">
        <v>202</v>
      </c>
      <c r="C18" s="104">
        <v>631</v>
      </c>
      <c r="D18" s="104">
        <v>758.2</v>
      </c>
      <c r="E18" s="104">
        <v>870.2</v>
      </c>
      <c r="F18" s="104">
        <v>930.3</v>
      </c>
      <c r="G18" s="104">
        <v>995.3</v>
      </c>
      <c r="H18" s="104">
        <v>1152.5</v>
      </c>
    </row>
    <row r="19" spans="1:8" x14ac:dyDescent="0.2">
      <c r="A19" s="103" t="s">
        <v>136</v>
      </c>
      <c r="B19" s="103" t="s">
        <v>203</v>
      </c>
      <c r="C19" s="104">
        <v>174.8</v>
      </c>
      <c r="D19" s="104">
        <v>215.5</v>
      </c>
      <c r="E19" s="104">
        <v>221.1</v>
      </c>
      <c r="F19" s="104">
        <v>214.1</v>
      </c>
      <c r="G19" s="104">
        <v>213.8</v>
      </c>
      <c r="H19" s="104">
        <v>253.5</v>
      </c>
    </row>
    <row r="20" spans="1:8" x14ac:dyDescent="0.2">
      <c r="A20" s="103" t="s">
        <v>204</v>
      </c>
      <c r="B20" s="103" t="s">
        <v>205</v>
      </c>
      <c r="C20" s="104">
        <v>121.4</v>
      </c>
      <c r="D20" s="104">
        <v>144.69999999999999</v>
      </c>
      <c r="E20" s="104">
        <v>143.5</v>
      </c>
      <c r="F20" s="104">
        <v>133.80000000000001</v>
      </c>
      <c r="G20" s="104">
        <v>127.4</v>
      </c>
      <c r="H20" s="104">
        <v>154.30000000000001</v>
      </c>
    </row>
    <row r="21" spans="1:8" x14ac:dyDescent="0.2">
      <c r="A21" s="103" t="s">
        <v>206</v>
      </c>
      <c r="B21" s="103" t="s">
        <v>207</v>
      </c>
      <c r="C21" s="104">
        <v>34.299999999999997</v>
      </c>
      <c r="D21" s="104">
        <v>43.4</v>
      </c>
      <c r="E21" s="104">
        <v>47.9</v>
      </c>
      <c r="F21" s="104">
        <v>50.7</v>
      </c>
      <c r="G21" s="104">
        <v>55.2</v>
      </c>
      <c r="H21" s="104">
        <v>67.900000000000006</v>
      </c>
    </row>
    <row r="22" spans="1:8" x14ac:dyDescent="0.2">
      <c r="A22" s="103" t="s">
        <v>208</v>
      </c>
      <c r="B22" s="103" t="s">
        <v>209</v>
      </c>
      <c r="C22" s="104">
        <v>19.2</v>
      </c>
      <c r="D22" s="104">
        <v>27.4</v>
      </c>
      <c r="E22" s="104">
        <v>29.6</v>
      </c>
      <c r="F22" s="104">
        <v>29.6</v>
      </c>
      <c r="G22" s="104">
        <v>31.2</v>
      </c>
      <c r="H22" s="104">
        <v>31.3</v>
      </c>
    </row>
    <row r="23" spans="1:8" x14ac:dyDescent="0.2">
      <c r="A23" s="103" t="s">
        <v>138</v>
      </c>
      <c r="B23" s="103" t="s">
        <v>67</v>
      </c>
      <c r="C23" s="104">
        <v>142.69999999999999</v>
      </c>
      <c r="D23" s="104">
        <v>149.6</v>
      </c>
      <c r="E23" s="104">
        <v>132.69999999999999</v>
      </c>
      <c r="F23" s="104">
        <v>121.5</v>
      </c>
      <c r="G23" s="104">
        <v>104.4</v>
      </c>
      <c r="H23" s="104">
        <v>97.4</v>
      </c>
    </row>
    <row r="24" spans="1:8" x14ac:dyDescent="0.2">
      <c r="A24" s="103" t="s">
        <v>140</v>
      </c>
      <c r="B24" s="103" t="s">
        <v>210</v>
      </c>
      <c r="C24" s="104">
        <v>253.3</v>
      </c>
      <c r="D24" s="104">
        <v>411</v>
      </c>
      <c r="E24" s="104">
        <v>485</v>
      </c>
      <c r="F24" s="104">
        <v>511</v>
      </c>
      <c r="G24" s="104">
        <v>595.70000000000005</v>
      </c>
      <c r="H24" s="104">
        <v>776.7</v>
      </c>
    </row>
    <row r="25" spans="1:8" x14ac:dyDescent="0.2">
      <c r="A25" s="103" t="s">
        <v>211</v>
      </c>
      <c r="B25" s="103" t="s">
        <v>212</v>
      </c>
      <c r="C25" s="104">
        <v>205.7</v>
      </c>
      <c r="D25" s="104">
        <v>345</v>
      </c>
      <c r="E25" s="104">
        <v>406.1</v>
      </c>
      <c r="F25" s="104">
        <v>440.1</v>
      </c>
      <c r="G25" s="104">
        <v>517.70000000000005</v>
      </c>
      <c r="H25" s="104">
        <v>680.6</v>
      </c>
    </row>
    <row r="26" spans="1:8" x14ac:dyDescent="0.2">
      <c r="A26" s="103" t="s">
        <v>213</v>
      </c>
      <c r="B26" s="103" t="s">
        <v>214</v>
      </c>
      <c r="C26" s="104">
        <v>47.5</v>
      </c>
      <c r="D26" s="104">
        <v>66</v>
      </c>
      <c r="E26" s="104">
        <v>78.900000000000006</v>
      </c>
      <c r="F26" s="104">
        <v>70.900000000000006</v>
      </c>
      <c r="G26" s="104">
        <v>78</v>
      </c>
      <c r="H26" s="104">
        <v>96.1</v>
      </c>
    </row>
    <row r="27" spans="1:8" x14ac:dyDescent="0.2">
      <c r="A27" s="103" t="s">
        <v>215</v>
      </c>
      <c r="B27" s="103" t="s">
        <v>104</v>
      </c>
      <c r="C27" s="104">
        <v>701.6</v>
      </c>
      <c r="D27" s="104">
        <v>683.9</v>
      </c>
      <c r="E27" s="104">
        <v>755.3</v>
      </c>
      <c r="F27" s="104">
        <v>766</v>
      </c>
      <c r="G27" s="104">
        <v>774.4</v>
      </c>
      <c r="H27" s="104">
        <v>810.3</v>
      </c>
    </row>
    <row r="28" spans="1:8" x14ac:dyDescent="0.2">
      <c r="A28" s="103" t="s">
        <v>216</v>
      </c>
      <c r="B28" s="103" t="s">
        <v>217</v>
      </c>
      <c r="C28" s="104">
        <v>422.4</v>
      </c>
      <c r="D28" s="104">
        <v>376.5</v>
      </c>
      <c r="E28" s="104">
        <v>399.4</v>
      </c>
      <c r="F28" s="104">
        <v>397.1</v>
      </c>
      <c r="G28" s="104">
        <v>385.9</v>
      </c>
      <c r="H28" s="104">
        <v>370.2</v>
      </c>
    </row>
    <row r="29" spans="1:8" x14ac:dyDescent="0.2">
      <c r="A29" s="103" t="s">
        <v>218</v>
      </c>
      <c r="B29" s="103" t="s">
        <v>219</v>
      </c>
      <c r="C29" s="104">
        <v>161.6</v>
      </c>
      <c r="D29" s="104">
        <v>162.30000000000001</v>
      </c>
      <c r="E29" s="104">
        <v>172.5</v>
      </c>
      <c r="F29" s="104">
        <v>183.6</v>
      </c>
      <c r="G29" s="104">
        <v>178</v>
      </c>
      <c r="H29" s="104">
        <v>185.2</v>
      </c>
    </row>
    <row r="30" spans="1:8" x14ac:dyDescent="0.2">
      <c r="A30" s="103" t="s">
        <v>220</v>
      </c>
      <c r="B30" s="103" t="s">
        <v>221</v>
      </c>
      <c r="C30" s="104">
        <v>117.6</v>
      </c>
      <c r="D30" s="104">
        <v>145.19999999999999</v>
      </c>
      <c r="E30" s="104">
        <v>183.5</v>
      </c>
      <c r="F30" s="104">
        <v>185.2</v>
      </c>
      <c r="G30" s="104">
        <v>210.5</v>
      </c>
      <c r="H30" s="104">
        <v>254.9</v>
      </c>
    </row>
    <row r="31" spans="1:8" x14ac:dyDescent="0.2">
      <c r="A31" s="103" t="s">
        <v>222</v>
      </c>
      <c r="B31" s="103" t="s">
        <v>80</v>
      </c>
      <c r="C31" s="104">
        <v>325.2</v>
      </c>
      <c r="D31" s="104">
        <v>354.1</v>
      </c>
      <c r="E31" s="104">
        <v>380.8</v>
      </c>
      <c r="F31" s="104">
        <v>359.9</v>
      </c>
      <c r="G31" s="104">
        <v>350.3</v>
      </c>
      <c r="H31" s="104">
        <v>412.1</v>
      </c>
    </row>
    <row r="32" spans="1:8" x14ac:dyDescent="0.2">
      <c r="A32" s="103" t="s">
        <v>148</v>
      </c>
      <c r="B32" s="103" t="s">
        <v>223</v>
      </c>
      <c r="C32" s="104">
        <v>667.8</v>
      </c>
      <c r="D32" s="104">
        <v>854.7</v>
      </c>
      <c r="E32" s="104">
        <v>1067.2</v>
      </c>
      <c r="F32" s="104">
        <v>1130.3</v>
      </c>
      <c r="G32" s="104">
        <v>1273.5999999999999</v>
      </c>
      <c r="H32" s="104">
        <v>1558.8</v>
      </c>
    </row>
    <row r="33" spans="1:8" x14ac:dyDescent="0.2">
      <c r="A33" s="103" t="s">
        <v>224</v>
      </c>
      <c r="B33" s="103" t="s">
        <v>225</v>
      </c>
      <c r="C33" s="104">
        <v>238.1</v>
      </c>
      <c r="D33" s="104">
        <v>277</v>
      </c>
      <c r="E33" s="104">
        <v>321</v>
      </c>
      <c r="F33" s="104">
        <v>325.3</v>
      </c>
      <c r="G33" s="104">
        <v>346.5</v>
      </c>
      <c r="H33" s="104">
        <v>402.1</v>
      </c>
    </row>
    <row r="34" spans="1:8" x14ac:dyDescent="0.2">
      <c r="A34" s="103" t="s">
        <v>226</v>
      </c>
      <c r="B34" s="103" t="s">
        <v>227</v>
      </c>
      <c r="C34" s="104">
        <v>156.80000000000001</v>
      </c>
      <c r="D34" s="104">
        <v>295.8</v>
      </c>
      <c r="E34" s="104">
        <v>362.1</v>
      </c>
      <c r="F34" s="104">
        <v>406.8</v>
      </c>
      <c r="G34" s="104">
        <v>484.4</v>
      </c>
      <c r="H34" s="104">
        <v>624.4</v>
      </c>
    </row>
    <row r="35" spans="1:8" s="109" customFormat="1" x14ac:dyDescent="0.2">
      <c r="A35" s="107" t="s">
        <v>228</v>
      </c>
      <c r="B35" s="107" t="s">
        <v>229</v>
      </c>
      <c r="C35" s="108">
        <v>272.89999999999998</v>
      </c>
      <c r="D35" s="108">
        <v>281.89999999999998</v>
      </c>
      <c r="E35" s="108">
        <v>384.1</v>
      </c>
      <c r="F35" s="108">
        <v>398.2</v>
      </c>
      <c r="G35" s="108">
        <v>442.7</v>
      </c>
      <c r="H35" s="108">
        <v>532.29999999999995</v>
      </c>
    </row>
    <row r="36" spans="1:8" x14ac:dyDescent="0.2">
      <c r="A36" s="103" t="s">
        <v>150</v>
      </c>
      <c r="B36" s="103" t="s">
        <v>230</v>
      </c>
      <c r="C36" s="104">
        <v>258.2</v>
      </c>
      <c r="D36" s="104">
        <v>271.10000000000002</v>
      </c>
      <c r="E36" s="104">
        <v>284.89999999999998</v>
      </c>
      <c r="F36" s="104">
        <v>318.10000000000002</v>
      </c>
      <c r="G36" s="104">
        <v>329.2</v>
      </c>
      <c r="H36" s="104">
        <v>335.4</v>
      </c>
    </row>
    <row r="37" spans="1:8" x14ac:dyDescent="0.2">
      <c r="A37" s="103" t="s">
        <v>152</v>
      </c>
      <c r="B37" s="103" t="s">
        <v>85</v>
      </c>
      <c r="C37" s="104">
        <v>211.8</v>
      </c>
      <c r="D37" s="104">
        <v>244.4</v>
      </c>
      <c r="E37" s="104">
        <v>249.5</v>
      </c>
      <c r="F37" s="104">
        <v>247.3</v>
      </c>
      <c r="G37" s="104">
        <v>269.39999999999998</v>
      </c>
      <c r="H37" s="104">
        <v>315.10000000000002</v>
      </c>
    </row>
    <row r="38" spans="1:8" x14ac:dyDescent="0.2">
      <c r="A38" s="103" t="s">
        <v>231</v>
      </c>
      <c r="B38" s="103" t="s">
        <v>232</v>
      </c>
      <c r="C38" s="104">
        <v>141</v>
      </c>
      <c r="D38" s="104">
        <v>160.69999999999999</v>
      </c>
      <c r="E38" s="104">
        <v>155</v>
      </c>
      <c r="F38" s="104">
        <v>149.6</v>
      </c>
      <c r="G38" s="104">
        <v>143.4</v>
      </c>
      <c r="H38" s="104">
        <v>135.5</v>
      </c>
    </row>
    <row r="39" spans="1:8" x14ac:dyDescent="0.2">
      <c r="A39" s="103" t="s">
        <v>233</v>
      </c>
      <c r="B39" s="103" t="s">
        <v>234</v>
      </c>
      <c r="C39" s="104">
        <v>55.4</v>
      </c>
      <c r="D39" s="104">
        <v>66.3</v>
      </c>
      <c r="E39" s="104">
        <v>72.2</v>
      </c>
      <c r="F39" s="104">
        <v>73.599999999999994</v>
      </c>
      <c r="G39" s="104">
        <v>98</v>
      </c>
      <c r="H39" s="104">
        <v>145.30000000000001</v>
      </c>
    </row>
    <row r="40" spans="1:8" x14ac:dyDescent="0.2">
      <c r="A40" s="103" t="s">
        <v>235</v>
      </c>
      <c r="B40" s="103" t="s">
        <v>236</v>
      </c>
      <c r="C40" s="104">
        <v>15.4</v>
      </c>
      <c r="D40" s="104">
        <v>17.3</v>
      </c>
      <c r="E40" s="104">
        <v>22.2</v>
      </c>
      <c r="F40" s="104">
        <v>24.1</v>
      </c>
      <c r="G40" s="104">
        <v>28</v>
      </c>
      <c r="H40" s="104">
        <v>34.299999999999997</v>
      </c>
    </row>
    <row r="41" spans="1:8" x14ac:dyDescent="0.2">
      <c r="A41" s="103" t="s">
        <v>154</v>
      </c>
      <c r="B41" s="103" t="s">
        <v>237</v>
      </c>
      <c r="C41" s="104">
        <v>1104.5999999999999</v>
      </c>
      <c r="D41" s="104">
        <v>1788.6</v>
      </c>
      <c r="E41" s="104">
        <v>2057.9</v>
      </c>
      <c r="F41" s="104">
        <v>2027.9</v>
      </c>
      <c r="G41" s="104">
        <v>2174.9</v>
      </c>
      <c r="H41" s="104">
        <v>2531.4</v>
      </c>
    </row>
    <row r="42" spans="1:8" x14ac:dyDescent="0.2">
      <c r="A42" s="103" t="s">
        <v>238</v>
      </c>
      <c r="B42" s="103" t="s">
        <v>239</v>
      </c>
      <c r="C42" s="104">
        <v>75.7</v>
      </c>
      <c r="D42" s="104">
        <v>106.5</v>
      </c>
      <c r="E42" s="104">
        <v>125.8</v>
      </c>
      <c r="F42" s="104">
        <v>122.5</v>
      </c>
      <c r="G42" s="104">
        <v>131</v>
      </c>
      <c r="H42" s="104">
        <v>151</v>
      </c>
    </row>
    <row r="43" spans="1:8" x14ac:dyDescent="0.2">
      <c r="A43" s="103" t="s">
        <v>240</v>
      </c>
      <c r="B43" s="103" t="s">
        <v>241</v>
      </c>
      <c r="C43" s="104">
        <v>333</v>
      </c>
      <c r="D43" s="104">
        <v>789.3</v>
      </c>
      <c r="E43" s="104">
        <v>832.9</v>
      </c>
      <c r="F43" s="104">
        <v>804.2</v>
      </c>
      <c r="G43" s="104">
        <v>881.6</v>
      </c>
      <c r="H43" s="104">
        <v>1049.8</v>
      </c>
    </row>
    <row r="44" spans="1:8" x14ac:dyDescent="0.2">
      <c r="A44" s="103" t="s">
        <v>242</v>
      </c>
      <c r="B44" s="103" t="s">
        <v>243</v>
      </c>
      <c r="C44" s="104">
        <v>24.7</v>
      </c>
      <c r="D44" s="104">
        <v>42.2</v>
      </c>
      <c r="E44" s="104">
        <v>47.5</v>
      </c>
      <c r="F44" s="104">
        <v>50.5</v>
      </c>
      <c r="G44" s="104">
        <v>49.7</v>
      </c>
      <c r="H44" s="104">
        <v>43.7</v>
      </c>
    </row>
    <row r="45" spans="1:8" x14ac:dyDescent="0.2">
      <c r="A45" s="103" t="s">
        <v>244</v>
      </c>
      <c r="B45" s="103" t="s">
        <v>245</v>
      </c>
      <c r="C45" s="104">
        <v>104.1</v>
      </c>
      <c r="D45" s="104">
        <v>135.6</v>
      </c>
      <c r="E45" s="104">
        <v>170.6</v>
      </c>
      <c r="F45" s="104">
        <v>156.19999999999999</v>
      </c>
      <c r="G45" s="104">
        <v>170.4</v>
      </c>
      <c r="H45" s="104">
        <v>190.9</v>
      </c>
    </row>
    <row r="46" spans="1:8" x14ac:dyDescent="0.2">
      <c r="A46" s="103" t="s">
        <v>246</v>
      </c>
      <c r="B46" s="103" t="s">
        <v>247</v>
      </c>
      <c r="C46" s="104">
        <v>350.7</v>
      </c>
      <c r="D46" s="104">
        <v>434.1</v>
      </c>
      <c r="E46" s="104">
        <v>524</v>
      </c>
      <c r="F46" s="104">
        <v>485.5</v>
      </c>
      <c r="G46" s="104">
        <v>528.9</v>
      </c>
      <c r="H46" s="104">
        <v>641.4</v>
      </c>
    </row>
    <row r="47" spans="1:8" x14ac:dyDescent="0.2">
      <c r="A47" s="103" t="s">
        <v>248</v>
      </c>
      <c r="B47" s="103" t="s">
        <v>249</v>
      </c>
      <c r="C47" s="104">
        <v>216.5</v>
      </c>
      <c r="D47" s="104">
        <v>280.8</v>
      </c>
      <c r="E47" s="104">
        <v>357</v>
      </c>
      <c r="F47" s="104">
        <v>409</v>
      </c>
      <c r="G47" s="104">
        <v>413.4</v>
      </c>
      <c r="H47" s="104">
        <v>454.6</v>
      </c>
    </row>
    <row r="48" spans="1:8" x14ac:dyDescent="0.2">
      <c r="A48" s="103" t="s">
        <v>166</v>
      </c>
      <c r="B48" s="103" t="s">
        <v>250</v>
      </c>
      <c r="C48" s="104">
        <v>2350.9</v>
      </c>
      <c r="D48" s="104">
        <v>2590.6</v>
      </c>
      <c r="E48" s="104">
        <v>2523.9</v>
      </c>
      <c r="F48" s="104">
        <v>2425.1999999999998</v>
      </c>
      <c r="G48" s="104">
        <v>2417.1999999999998</v>
      </c>
      <c r="H48" s="104">
        <v>2478.6999999999998</v>
      </c>
    </row>
    <row r="49" spans="1:8" x14ac:dyDescent="0.2">
      <c r="A49" s="103" t="s">
        <v>168</v>
      </c>
      <c r="B49" s="103" t="s">
        <v>251</v>
      </c>
      <c r="C49" s="104">
        <v>1636.2</v>
      </c>
      <c r="D49" s="104">
        <v>1840.2</v>
      </c>
      <c r="E49" s="104">
        <v>1930.2</v>
      </c>
      <c r="F49" s="104">
        <v>1924.1</v>
      </c>
      <c r="G49" s="104">
        <v>2017.6</v>
      </c>
      <c r="H49" s="104">
        <v>2049.1</v>
      </c>
    </row>
    <row r="50" spans="1:8" x14ac:dyDescent="0.2">
      <c r="A50" s="103" t="s">
        <v>170</v>
      </c>
      <c r="B50" s="103" t="s">
        <v>103</v>
      </c>
      <c r="C50" s="104">
        <v>1619</v>
      </c>
      <c r="D50" s="104">
        <v>1606</v>
      </c>
      <c r="E50" s="104">
        <v>1798.1</v>
      </c>
      <c r="F50" s="104">
        <v>1888.3</v>
      </c>
      <c r="G50" s="104">
        <v>2010</v>
      </c>
      <c r="H50" s="104">
        <v>2120.1999999999998</v>
      </c>
    </row>
    <row r="51" spans="1:8" x14ac:dyDescent="0.2">
      <c r="A51" s="103" t="s">
        <v>172</v>
      </c>
      <c r="B51" s="103" t="s">
        <v>252</v>
      </c>
      <c r="C51" s="104">
        <v>912.1</v>
      </c>
      <c r="D51" s="104">
        <v>1577.4</v>
      </c>
      <c r="E51" s="104">
        <v>1890.7</v>
      </c>
      <c r="F51" s="104">
        <v>2009.2</v>
      </c>
      <c r="G51" s="104">
        <v>2079.4</v>
      </c>
      <c r="H51" s="104">
        <v>2122.1999999999998</v>
      </c>
    </row>
    <row r="52" spans="1:8" x14ac:dyDescent="0.2">
      <c r="A52" s="103" t="s">
        <v>253</v>
      </c>
      <c r="B52" s="103" t="s">
        <v>254</v>
      </c>
      <c r="C52" s="104">
        <v>344.5</v>
      </c>
      <c r="D52" s="104">
        <v>531.70000000000005</v>
      </c>
      <c r="E52" s="104">
        <v>621.4</v>
      </c>
      <c r="F52" s="104">
        <v>692.7</v>
      </c>
      <c r="G52" s="104">
        <v>756.7</v>
      </c>
      <c r="H52" s="104">
        <v>763.8</v>
      </c>
    </row>
    <row r="53" spans="1:8" x14ac:dyDescent="0.2">
      <c r="A53" s="103" t="s">
        <v>255</v>
      </c>
      <c r="B53" s="103" t="s">
        <v>256</v>
      </c>
      <c r="C53" s="104">
        <v>567.6</v>
      </c>
      <c r="D53" s="104">
        <v>1045.7</v>
      </c>
      <c r="E53" s="104">
        <v>1269.3</v>
      </c>
      <c r="F53" s="104">
        <v>1316.4</v>
      </c>
      <c r="G53" s="104">
        <v>1322.8</v>
      </c>
      <c r="H53" s="104">
        <v>1358.4</v>
      </c>
    </row>
    <row r="54" spans="1:8" x14ac:dyDescent="0.2">
      <c r="A54" s="103" t="s">
        <v>158</v>
      </c>
      <c r="B54" s="103" t="s">
        <v>86</v>
      </c>
      <c r="C54" s="104">
        <v>292</v>
      </c>
      <c r="D54" s="104">
        <v>406.4</v>
      </c>
      <c r="E54" s="104">
        <v>538.1</v>
      </c>
      <c r="F54" s="104">
        <v>570.79999999999995</v>
      </c>
      <c r="G54" s="104">
        <v>604.5</v>
      </c>
      <c r="H54" s="104">
        <v>646.5</v>
      </c>
    </row>
    <row r="55" spans="1:8" x14ac:dyDescent="0.2">
      <c r="A55" s="103" t="s">
        <v>257</v>
      </c>
      <c r="B55" s="103" t="s">
        <v>258</v>
      </c>
      <c r="C55" s="104">
        <v>111.2</v>
      </c>
      <c r="D55" s="104">
        <v>149</v>
      </c>
      <c r="E55" s="104">
        <v>200.9</v>
      </c>
      <c r="F55" s="104">
        <v>200.4</v>
      </c>
      <c r="G55" s="104">
        <v>194.2</v>
      </c>
      <c r="H55" s="104">
        <v>201.5</v>
      </c>
    </row>
    <row r="56" spans="1:8" x14ac:dyDescent="0.2">
      <c r="A56" s="103" t="s">
        <v>259</v>
      </c>
      <c r="B56" s="103" t="s">
        <v>260</v>
      </c>
      <c r="C56" s="104">
        <v>32.200000000000003</v>
      </c>
      <c r="D56" s="104">
        <v>38.799999999999997</v>
      </c>
      <c r="E56" s="104">
        <v>53</v>
      </c>
      <c r="F56" s="104">
        <v>63.3</v>
      </c>
      <c r="G56" s="104">
        <v>64.7</v>
      </c>
      <c r="H56" s="104">
        <v>63.8</v>
      </c>
    </row>
    <row r="57" spans="1:8" x14ac:dyDescent="0.2">
      <c r="A57" s="103" t="s">
        <v>261</v>
      </c>
      <c r="B57" s="103" t="s">
        <v>262</v>
      </c>
      <c r="C57" s="104">
        <v>9.6</v>
      </c>
      <c r="D57" s="104">
        <v>18.8</v>
      </c>
      <c r="E57" s="104">
        <v>23.9</v>
      </c>
      <c r="F57" s="104">
        <v>22.5</v>
      </c>
      <c r="G57" s="104">
        <v>21.6</v>
      </c>
      <c r="H57" s="104">
        <v>23.6</v>
      </c>
    </row>
    <row r="58" spans="1:8" x14ac:dyDescent="0.2">
      <c r="A58" s="103" t="s">
        <v>263</v>
      </c>
      <c r="B58" s="103" t="s">
        <v>264</v>
      </c>
      <c r="C58" s="104">
        <v>139</v>
      </c>
      <c r="D58" s="104">
        <v>199.7</v>
      </c>
      <c r="E58" s="104">
        <v>260.3</v>
      </c>
      <c r="F58" s="104">
        <v>284.7</v>
      </c>
      <c r="G58" s="104">
        <v>324.10000000000002</v>
      </c>
      <c r="H58" s="104">
        <v>357.6</v>
      </c>
    </row>
    <row r="59" spans="1:8" x14ac:dyDescent="0.2">
      <c r="A59" s="103" t="s">
        <v>160</v>
      </c>
      <c r="B59" s="103" t="s">
        <v>77</v>
      </c>
      <c r="C59" s="104">
        <v>555.9</v>
      </c>
      <c r="D59" s="104">
        <v>881.5</v>
      </c>
      <c r="E59" s="104">
        <v>750.8</v>
      </c>
      <c r="F59" s="104">
        <v>801.2</v>
      </c>
      <c r="G59" s="104">
        <v>862.1</v>
      </c>
      <c r="H59" s="104">
        <v>965.4</v>
      </c>
    </row>
    <row r="60" spans="1:8" x14ac:dyDescent="0.2">
      <c r="A60" s="103" t="s">
        <v>265</v>
      </c>
      <c r="B60" s="103" t="s">
        <v>266</v>
      </c>
      <c r="C60" s="104">
        <v>259.3</v>
      </c>
      <c r="D60" s="104">
        <v>549.5</v>
      </c>
      <c r="E60" s="104">
        <v>362.1</v>
      </c>
      <c r="F60" s="104">
        <v>383.5</v>
      </c>
      <c r="G60" s="104">
        <v>412.9</v>
      </c>
      <c r="H60" s="104">
        <v>441</v>
      </c>
    </row>
    <row r="61" spans="1:8" x14ac:dyDescent="0.2">
      <c r="A61" s="103" t="s">
        <v>267</v>
      </c>
      <c r="B61" s="103" t="s">
        <v>268</v>
      </c>
      <c r="C61" s="104">
        <v>74.3</v>
      </c>
      <c r="D61" s="104">
        <v>80.099999999999994</v>
      </c>
      <c r="E61" s="104">
        <v>82.6</v>
      </c>
      <c r="F61" s="104">
        <v>88.2</v>
      </c>
      <c r="G61" s="104">
        <v>85.6</v>
      </c>
      <c r="H61" s="104">
        <v>91.7</v>
      </c>
    </row>
    <row r="62" spans="1:8" x14ac:dyDescent="0.2">
      <c r="A62" s="103" t="s">
        <v>269</v>
      </c>
      <c r="B62" s="103" t="s">
        <v>270</v>
      </c>
      <c r="C62" s="104">
        <v>222.3</v>
      </c>
      <c r="D62" s="104">
        <v>251.9</v>
      </c>
      <c r="E62" s="104">
        <v>306.10000000000002</v>
      </c>
      <c r="F62" s="104">
        <v>329.6</v>
      </c>
      <c r="G62" s="104">
        <v>363.5</v>
      </c>
      <c r="H62" s="104">
        <v>432.8</v>
      </c>
    </row>
    <row r="63" spans="1:8" x14ac:dyDescent="0.2">
      <c r="A63" s="103" t="s">
        <v>162</v>
      </c>
      <c r="B63" s="103" t="s">
        <v>271</v>
      </c>
      <c r="C63" s="104">
        <v>67</v>
      </c>
      <c r="D63" s="104">
        <v>132.6</v>
      </c>
      <c r="E63" s="104">
        <v>184.8</v>
      </c>
      <c r="F63" s="104">
        <v>182.3</v>
      </c>
      <c r="G63" s="104">
        <v>152.19999999999999</v>
      </c>
      <c r="H63" s="104">
        <v>139.30000000000001</v>
      </c>
    </row>
    <row r="64" spans="1:8" x14ac:dyDescent="0.2">
      <c r="A64" s="103" t="s">
        <v>272</v>
      </c>
      <c r="B64" s="103" t="s">
        <v>273</v>
      </c>
      <c r="C64" s="104">
        <v>67</v>
      </c>
      <c r="D64" s="104">
        <v>132.6</v>
      </c>
      <c r="E64" s="104">
        <v>184.8</v>
      </c>
      <c r="F64" s="104">
        <v>182.3</v>
      </c>
      <c r="G64" s="104">
        <v>152.19999999999999</v>
      </c>
      <c r="H64" s="104">
        <v>139.30000000000001</v>
      </c>
    </row>
    <row r="65" spans="1:8" x14ac:dyDescent="0.2">
      <c r="A65" s="105" t="s">
        <v>174</v>
      </c>
      <c r="B65" s="105" t="s">
        <v>15</v>
      </c>
      <c r="C65" s="104">
        <v>23649.7</v>
      </c>
      <c r="D65" s="104">
        <v>25689.5</v>
      </c>
      <c r="E65" s="104">
        <v>27227.5</v>
      </c>
      <c r="F65" s="104">
        <v>27155.599999999999</v>
      </c>
      <c r="G65" s="104">
        <v>27719.7</v>
      </c>
      <c r="H65" s="104">
        <v>30102.9</v>
      </c>
    </row>
    <row r="67" spans="1:8" x14ac:dyDescent="0.2">
      <c r="A67" s="106" t="s">
        <v>175</v>
      </c>
    </row>
  </sheetData>
  <hyperlinks>
    <hyperlink ref="A67" r:id="rId1" xr:uid="{5E1C3ED7-AEE7-4E5D-AE3B-F07420E4E6C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Q311"/>
  <sheetViews>
    <sheetView workbookViewId="0">
      <pane xSplit="1" ySplit="5" topLeftCell="B59" activePane="bottomRight" state="frozen"/>
      <selection pane="topRight" activeCell="B1" sqref="B1"/>
      <selection pane="bottomLeft" activeCell="A4" sqref="A4"/>
      <selection pane="bottomRight" activeCell="O62" sqref="O62:O64"/>
    </sheetView>
  </sheetViews>
  <sheetFormatPr baseColWidth="10" defaultColWidth="11.42578125" defaultRowHeight="12" x14ac:dyDescent="0.2"/>
  <cols>
    <col min="1" max="1" width="40.42578125" style="15" customWidth="1"/>
    <col min="2" max="13" width="8.7109375" style="15" customWidth="1"/>
    <col min="14" max="14" width="9.140625" style="15" customWidth="1"/>
    <col min="15" max="16384" width="11.42578125" style="15"/>
  </cols>
  <sheetData>
    <row r="3" spans="1:14" x14ac:dyDescent="0.2">
      <c r="A3" s="15" t="s">
        <v>0</v>
      </c>
    </row>
    <row r="4" spans="1:14" ht="12.75" thickBot="1" x14ac:dyDescent="0.25">
      <c r="A4" s="15" t="s">
        <v>88</v>
      </c>
    </row>
    <row r="5" spans="1:14" ht="18" customHeight="1" x14ac:dyDescent="0.2">
      <c r="A5" s="37"/>
      <c r="B5" s="18">
        <v>1906</v>
      </c>
      <c r="C5" s="18">
        <v>1926</v>
      </c>
      <c r="D5" s="18">
        <v>1936</v>
      </c>
      <c r="E5" s="18">
        <v>1954</v>
      </c>
      <c r="F5" s="18">
        <v>1962</v>
      </c>
      <c r="G5" s="18">
        <v>1968</v>
      </c>
      <c r="H5" s="18">
        <v>1974</v>
      </c>
      <c r="I5" s="18">
        <v>1980</v>
      </c>
      <c r="J5" s="18">
        <v>1990</v>
      </c>
      <c r="K5" s="18">
        <v>2000</v>
      </c>
      <c r="L5" s="18">
        <v>2008</v>
      </c>
      <c r="M5" s="19">
        <v>2011</v>
      </c>
      <c r="N5" s="15">
        <v>2016</v>
      </c>
    </row>
    <row r="6" spans="1:14" ht="18" customHeight="1" thickBot="1" x14ac:dyDescent="0.25">
      <c r="A6" s="39"/>
      <c r="B6" s="40"/>
      <c r="C6" s="40"/>
      <c r="D6" s="40"/>
      <c r="E6" s="40"/>
      <c r="F6" s="40"/>
      <c r="G6" s="40"/>
      <c r="H6" s="40"/>
      <c r="I6" s="40"/>
      <c r="J6" s="40"/>
      <c r="K6" s="40"/>
      <c r="L6" s="40"/>
      <c r="M6" s="41"/>
    </row>
    <row r="7" spans="1:14" ht="18" customHeight="1" x14ac:dyDescent="0.2">
      <c r="A7" s="38" t="s">
        <v>2</v>
      </c>
      <c r="B7" s="20"/>
      <c r="C7" s="20"/>
      <c r="D7" s="20"/>
      <c r="E7" s="20"/>
      <c r="F7" s="20"/>
      <c r="G7" s="20"/>
      <c r="H7" s="20"/>
      <c r="I7" s="20"/>
      <c r="J7" s="20"/>
      <c r="K7" s="20"/>
      <c r="L7" s="20"/>
      <c r="M7" s="21"/>
    </row>
    <row r="8" spans="1:14" ht="18" customHeight="1" x14ac:dyDescent="0.2">
      <c r="A8" s="38"/>
      <c r="B8" s="20"/>
      <c r="C8" s="20"/>
      <c r="D8" s="20"/>
      <c r="E8" s="20"/>
      <c r="F8" s="20"/>
      <c r="G8" s="20"/>
      <c r="H8" s="20"/>
      <c r="I8" s="20"/>
      <c r="J8" s="20"/>
      <c r="K8" s="20"/>
      <c r="L8" s="20"/>
      <c r="M8" s="21"/>
    </row>
    <row r="9" spans="1:14" ht="18" customHeight="1" x14ac:dyDescent="0.2">
      <c r="A9" s="38" t="s">
        <v>80</v>
      </c>
      <c r="B9" s="22">
        <f>'calcul intermédiaire2'!B9</f>
        <v>32.330991071428571</v>
      </c>
      <c r="C9" s="22">
        <f>'calcul intermédiaire2'!C9</f>
        <v>90.526775000000001</v>
      </c>
      <c r="D9" s="22">
        <f>'calcul intermédiaire2'!D9</f>
        <v>90.526775000000001</v>
      </c>
      <c r="E9" s="22">
        <f>'calcul intermédiaire2'!E9</f>
        <v>90.526775000000001</v>
      </c>
      <c r="F9" s="22">
        <f>'calcul intermédiaire2'!F9</f>
        <v>107.238</v>
      </c>
      <c r="G9" s="22">
        <f>'calcul intermédiaire2'!G9</f>
        <v>150.91540799999999</v>
      </c>
      <c r="H9" s="22">
        <f>'calcul intermédiaire2'!H9</f>
        <v>203.35910699999999</v>
      </c>
      <c r="I9" s="22">
        <f>'calcul intermédiaire2'!I9</f>
        <v>248.46679800000001</v>
      </c>
      <c r="J9" s="22">
        <f>'calcul intermédiaire2'!J9</f>
        <v>318.119508</v>
      </c>
      <c r="K9" s="22">
        <f>'calcul intermédiaire2'!K9</f>
        <v>353.68250599999999</v>
      </c>
      <c r="L9" s="22">
        <f>'calcul intermédiaire2'!L9</f>
        <v>381.37691100000001</v>
      </c>
      <c r="M9" s="22">
        <f>'calcul intermédiaire2'!M9</f>
        <v>359.60443300000003</v>
      </c>
    </row>
    <row r="10" spans="1:14" ht="18" customHeight="1" x14ac:dyDescent="0.2">
      <c r="A10" s="38"/>
      <c r="B10" s="20"/>
      <c r="C10" s="20"/>
      <c r="D10" s="20"/>
      <c r="E10" s="20"/>
      <c r="F10" s="20"/>
      <c r="G10" s="20"/>
      <c r="H10" s="20"/>
      <c r="I10" s="20"/>
      <c r="J10" s="20"/>
      <c r="K10" s="20"/>
      <c r="L10" s="20"/>
      <c r="M10" s="21"/>
    </row>
    <row r="11" spans="1:14" ht="18" customHeight="1" x14ac:dyDescent="0.2">
      <c r="A11" s="38" t="s">
        <v>3</v>
      </c>
      <c r="B11" s="20"/>
      <c r="C11" s="20"/>
      <c r="D11" s="20"/>
      <c r="E11" s="20"/>
      <c r="F11" s="20"/>
      <c r="G11" s="20"/>
      <c r="H11" s="20"/>
      <c r="I11" s="20"/>
      <c r="J11" s="20"/>
      <c r="K11" s="20"/>
      <c r="L11" s="20"/>
      <c r="M11" s="21"/>
    </row>
    <row r="12" spans="1:14" ht="18" customHeight="1" x14ac:dyDescent="0.2">
      <c r="A12" s="38" t="s">
        <v>4</v>
      </c>
      <c r="B12" s="22"/>
      <c r="C12" s="22"/>
      <c r="D12" s="22"/>
      <c r="E12" s="22"/>
      <c r="F12" s="22"/>
      <c r="G12" s="22"/>
      <c r="H12" s="22"/>
      <c r="I12" s="22"/>
      <c r="J12" s="20"/>
      <c r="K12" s="20"/>
      <c r="L12" s="20"/>
      <c r="M12" s="21"/>
    </row>
    <row r="13" spans="1:14" ht="18" customHeight="1" x14ac:dyDescent="0.2">
      <c r="A13" s="38" t="s">
        <v>79</v>
      </c>
      <c r="B13" s="22">
        <f>'calcul intermédiaire2'!B13</f>
        <v>21.865933766638761</v>
      </c>
      <c r="C13" s="22">
        <f>'calcul intermédiaire2'!C13</f>
        <v>33.709981223568093</v>
      </c>
      <c r="D13" s="22">
        <f>'calcul intermédiaire2'!D13</f>
        <v>34.621061797178044</v>
      </c>
      <c r="E13" s="22">
        <f>'calcul intermédiaire2'!E13</f>
        <v>53.753753842986967</v>
      </c>
      <c r="F13" s="22">
        <f>'calcul intermédiaire2'!F13</f>
        <v>70.608201173587858</v>
      </c>
      <c r="G13" s="22">
        <f>'calcul intermédiaire2'!G13</f>
        <v>99.083403862792053</v>
      </c>
      <c r="H13" s="22">
        <f>'calcul intermédiaire2'!H13</f>
        <v>141.51256684046695</v>
      </c>
      <c r="I13" s="22">
        <f>'calcul intermédiaire2'!I13</f>
        <v>217</v>
      </c>
      <c r="J13" s="22">
        <f>'calcul intermédiaire2'!J13</f>
        <v>253.87911099999999</v>
      </c>
      <c r="K13" s="22">
        <f>'calcul intermédiaire2'!K13</f>
        <v>261.18169499999999</v>
      </c>
      <c r="L13" s="22">
        <f>'calcul intermédiaire2'!L13</f>
        <v>354.989754</v>
      </c>
      <c r="M13" s="22">
        <f>'calcul intermédiaire2'!M13</f>
        <v>367.07970599999999</v>
      </c>
    </row>
    <row r="14" spans="1:14" ht="18" customHeight="1" x14ac:dyDescent="0.2">
      <c r="A14" s="38" t="s">
        <v>83</v>
      </c>
      <c r="B14" s="22">
        <f>'calcul intermédiaire2'!B14</f>
        <v>37.65643587167596</v>
      </c>
      <c r="C14" s="22">
        <f>'calcul intermédiaire2'!C14</f>
        <v>52.960655798132493</v>
      </c>
      <c r="D14" s="22">
        <f>'calcul intermédiaire2'!D14</f>
        <v>56.786710779746628</v>
      </c>
      <c r="E14" s="22">
        <f>'calcul intermédiaire2'!E14</f>
        <v>70.077217557985193</v>
      </c>
      <c r="F14" s="22">
        <f>'calcul intermédiaire2'!F14</f>
        <v>81.50703846846784</v>
      </c>
      <c r="G14" s="22">
        <f>'calcul intermédiaire2'!G14</f>
        <v>111.16362072946743</v>
      </c>
      <c r="H14" s="22">
        <f>'calcul intermédiaire2'!H14</f>
        <v>144.01223214327518</v>
      </c>
      <c r="I14" s="22">
        <f>'calcul intermédiaire2'!I14</f>
        <v>177.64921446507682</v>
      </c>
      <c r="J14" s="22">
        <f>'calcul intermédiaire2'!J14</f>
        <v>318.119508</v>
      </c>
      <c r="K14" s="22">
        <f>'calcul intermédiaire2'!K14</f>
        <v>353.68250599999999</v>
      </c>
      <c r="L14" s="22">
        <f>'calcul intermédiaire2'!L14</f>
        <v>381.37691100000001</v>
      </c>
      <c r="M14" s="22">
        <f>'calcul intermédiaire2'!M14</f>
        <v>359.60443300000003</v>
      </c>
    </row>
    <row r="15" spans="1:14" ht="18" customHeight="1" x14ac:dyDescent="0.2">
      <c r="A15" s="38" t="s">
        <v>78</v>
      </c>
      <c r="B15" s="22">
        <f>'calcul intermédiaire2'!B15</f>
        <v>42</v>
      </c>
      <c r="C15" s="22">
        <f>'calcul intermédiaire2'!C15</f>
        <v>56</v>
      </c>
      <c r="D15" s="22">
        <f>'calcul intermédiaire2'!D15</f>
        <v>80</v>
      </c>
      <c r="E15" s="22">
        <f>'calcul intermédiaire2'!E15</f>
        <v>87</v>
      </c>
      <c r="F15" s="22">
        <f>'calcul intermédiaire2'!F15</f>
        <v>95</v>
      </c>
      <c r="G15" s="22">
        <f>'calcul intermédiaire2'!G15</f>
        <v>128</v>
      </c>
      <c r="H15" s="22">
        <f>'calcul intermédiaire2'!H15</f>
        <v>154.45203599999999</v>
      </c>
      <c r="I15" s="22">
        <f>'calcul intermédiaire2'!I15</f>
        <v>149</v>
      </c>
      <c r="J15" s="22">
        <f>'calcul intermédiaire2'!J15</f>
        <v>237.85147800000001</v>
      </c>
      <c r="K15" s="22">
        <f>'calcul intermédiaire2'!K15</f>
        <v>275.841522</v>
      </c>
      <c r="L15" s="22">
        <f>'calcul intermédiaire2'!L15</f>
        <v>320.01201700000001</v>
      </c>
      <c r="M15" s="22">
        <f>'calcul intermédiaire2'!M15</f>
        <v>326.49287500000003</v>
      </c>
    </row>
    <row r="16" spans="1:14" ht="18" customHeight="1" x14ac:dyDescent="0.2">
      <c r="A16" s="38" t="s">
        <v>85</v>
      </c>
      <c r="B16" s="22">
        <f>'calcul intermédiaire2'!B16</f>
        <v>31.789247593220328</v>
      </c>
      <c r="C16" s="22">
        <f>'calcul intermédiaire2'!C16</f>
        <v>49.008423372881346</v>
      </c>
      <c r="D16" s="22">
        <f>'calcul intermédiaire2'!D16</f>
        <v>50.332975355932199</v>
      </c>
      <c r="E16" s="22">
        <f>'calcul intermédiaire2'!E16</f>
        <v>78.148567</v>
      </c>
      <c r="F16" s="22">
        <f>'calcul intermédiaire2'!F16</f>
        <v>85.489419999999996</v>
      </c>
      <c r="G16" s="22">
        <f>'calcul intermédiaire2'!G16</f>
        <v>105.089561</v>
      </c>
      <c r="H16" s="22">
        <f>'calcul intermédiaire2'!H16</f>
        <v>131.624606</v>
      </c>
      <c r="I16" s="22">
        <f>'calcul intermédiaire2'!I16</f>
        <v>162.64141100000001</v>
      </c>
      <c r="J16" s="22">
        <f>'calcul intermédiaire2'!J16</f>
        <v>232.24184599999998</v>
      </c>
      <c r="K16" s="22">
        <f>'calcul intermédiaire2'!K16</f>
        <v>269.42673400000001</v>
      </c>
      <c r="L16" s="22">
        <f>'calcul intermédiaire2'!L16</f>
        <v>273.93736700000005</v>
      </c>
      <c r="M16" s="22">
        <f>'calcul intermédiaire2'!M16</f>
        <v>261.489215</v>
      </c>
    </row>
    <row r="17" spans="1:14" ht="18" customHeight="1" x14ac:dyDescent="0.2">
      <c r="A17" s="38" t="s">
        <v>81</v>
      </c>
      <c r="B17" s="22">
        <f>'calcul intermédiaire2'!B17</f>
        <v>60.611610711864401</v>
      </c>
      <c r="C17" s="22">
        <f>'calcul intermédiaire2'!C17</f>
        <v>93.442899847457625</v>
      </c>
      <c r="D17" s="22">
        <f>'calcul intermédiaire2'!D17</f>
        <v>95.968383627118641</v>
      </c>
      <c r="E17" s="22">
        <f>'calcul intermédiaire2'!E17</f>
        <v>149.00354300000001</v>
      </c>
      <c r="F17" s="22">
        <f>'calcul intermédiaire2'!F17</f>
        <v>167.09562299999999</v>
      </c>
      <c r="G17" s="22">
        <f>'calcul intermédiaire2'!G17</f>
        <v>182.19765200000001</v>
      </c>
      <c r="H17" s="22">
        <f>'calcul intermédiaire2'!H17</f>
        <v>214.61189000000002</v>
      </c>
      <c r="I17" s="22">
        <f>'calcul intermédiaire2'!I17</f>
        <v>264.54257299999995</v>
      </c>
      <c r="J17" s="22">
        <f>'calcul intermédiaire2'!J17</f>
        <v>354.35597799999999</v>
      </c>
      <c r="K17" s="22">
        <f>'calcul intermédiaire2'!K17</f>
        <v>381.55860600000005</v>
      </c>
      <c r="L17" s="22">
        <f>'calcul intermédiaire2'!L17</f>
        <v>421.10679999999996</v>
      </c>
      <c r="M17" s="22">
        <f>'calcul intermédiaire2'!M17</f>
        <v>442.942837</v>
      </c>
    </row>
    <row r="18" spans="1:14" ht="18" customHeight="1" x14ac:dyDescent="0.2">
      <c r="A18" s="38" t="s">
        <v>82</v>
      </c>
      <c r="B18" s="22">
        <f>'calcul intermédiaire2'!B18</f>
        <v>169.92489834770114</v>
      </c>
      <c r="C18" s="22">
        <f>'calcul intermédiaire2'!C18</f>
        <v>238.98528484195401</v>
      </c>
      <c r="D18" s="22">
        <f>'calcul intermédiaire2'!D18</f>
        <v>256.25038146551725</v>
      </c>
      <c r="E18" s="22">
        <f>'calcul intermédiaire2'!E18</f>
        <v>316.22387500000002</v>
      </c>
      <c r="F18" s="22">
        <f>'calcul intermédiaire2'!F18</f>
        <v>370.97709600000002</v>
      </c>
      <c r="G18" s="22">
        <f>'calcul intermédiaire2'!G18</f>
        <v>478.56897600000002</v>
      </c>
      <c r="H18" s="22">
        <f>'calcul intermédiaire2'!H18</f>
        <v>613.97867500000007</v>
      </c>
      <c r="I18" s="22">
        <f>'calcul intermédiaire2'!I18</f>
        <v>766.60226699999998</v>
      </c>
      <c r="J18" s="22">
        <f>'calcul intermédiaire2'!J18</f>
        <v>1078.6162979999999</v>
      </c>
      <c r="K18" s="22">
        <f>'calcul intermédiaire2'!K18</f>
        <v>1783.2189519999999</v>
      </c>
      <c r="L18" s="22">
        <f>'calcul intermédiaire2'!L18</f>
        <v>2043.489026</v>
      </c>
      <c r="M18" s="22">
        <f>'calcul intermédiaire2'!M18</f>
        <v>2031.2657790000001</v>
      </c>
    </row>
    <row r="19" spans="1:14" ht="18" customHeight="1" x14ac:dyDescent="0.2">
      <c r="A19" s="38" t="s">
        <v>94</v>
      </c>
      <c r="B19" s="25">
        <f>'emploi tertiaire série publiée'!C9</f>
        <v>336.80635511533728</v>
      </c>
      <c r="C19" s="25">
        <f>'emploi tertiaire série publiée'!D9</f>
        <v>478.07454842733273</v>
      </c>
      <c r="D19" s="25">
        <f>'emploi tertiaire série publiée'!E9</f>
        <v>525.10048372188942</v>
      </c>
      <c r="E19" s="25">
        <f>'emploi tertiaire série publiée'!F9</f>
        <v>692.1</v>
      </c>
      <c r="F19" s="25">
        <f>'emploi tertiaire série publiée'!G9</f>
        <v>797.1</v>
      </c>
      <c r="G19" s="25">
        <f>'emploi tertiaire série publiée'!H9</f>
        <v>1009.1</v>
      </c>
      <c r="H19" s="25">
        <f>'emploi tertiaire série publiée'!I9</f>
        <v>1277.5999999999999</v>
      </c>
      <c r="I19" s="25">
        <f>'emploi tertiaire série publiée'!J9</f>
        <v>1574.9</v>
      </c>
      <c r="J19" s="25">
        <f>'emploi tertiaire série publiée'!K9</f>
        <v>2242.3000000000002</v>
      </c>
      <c r="K19" s="25">
        <f>'emploi tertiaire série publiée'!L9</f>
        <v>3158.7</v>
      </c>
      <c r="L19" s="25">
        <f>'emploi tertiaire série publiée'!M9</f>
        <v>3659.5</v>
      </c>
      <c r="M19" s="25">
        <f>'emploi tertiaire série publiée'!N9</f>
        <v>3723.6</v>
      </c>
      <c r="N19" s="25">
        <f>'emploi tertiaire série publiée'!O9</f>
        <v>4047.1</v>
      </c>
    </row>
    <row r="20" spans="1:14" ht="18" customHeight="1" x14ac:dyDescent="0.2">
      <c r="A20" s="38"/>
      <c r="B20" s="22"/>
      <c r="C20" s="22"/>
      <c r="D20" s="22"/>
      <c r="E20" s="22"/>
      <c r="F20" s="22"/>
      <c r="G20" s="22"/>
      <c r="H20" s="22"/>
      <c r="I20" s="22"/>
      <c r="J20" s="20"/>
      <c r="K20" s="20"/>
      <c r="L20" s="20"/>
      <c r="M20" s="21"/>
    </row>
    <row r="21" spans="1:14" ht="18" customHeight="1" x14ac:dyDescent="0.2">
      <c r="A21" s="38" t="s">
        <v>66</v>
      </c>
      <c r="B21" s="24"/>
      <c r="C21" s="24"/>
      <c r="D21" s="24"/>
      <c r="E21" s="24">
        <f>'[1]49-2011'!H29/1000</f>
        <v>71.401776999999996</v>
      </c>
      <c r="F21" s="24">
        <f>'[1]49-2011'!P29/1000</f>
        <v>89.447642999999999</v>
      </c>
      <c r="G21" s="24">
        <f>'[1]49-2011'!V29/1000</f>
        <v>101.75206900000001</v>
      </c>
      <c r="H21" s="24">
        <f>'[1]49-2011'!AB29/1000</f>
        <v>121.253765</v>
      </c>
      <c r="I21" s="24">
        <f>'[1]49-2011'!AH29/1000</f>
        <v>132.647671</v>
      </c>
      <c r="J21" s="24">
        <f>'[1]49-2011'!AR29/1000</f>
        <v>169.35857999999999</v>
      </c>
      <c r="K21" s="24">
        <f>'[1]49-2011'!BB29/1000</f>
        <v>205.68831599999999</v>
      </c>
      <c r="L21" s="24">
        <f>'[1]49-2011'!BJ29/1000</f>
        <v>217.00273199999998</v>
      </c>
      <c r="M21" s="27">
        <f>'[1]49-2011'!BM29/1000</f>
        <v>212.07081500000001</v>
      </c>
    </row>
    <row r="22" spans="1:14" ht="18" customHeight="1" x14ac:dyDescent="0.2">
      <c r="A22" s="38" t="s">
        <v>67</v>
      </c>
      <c r="B22" s="24"/>
      <c r="C22" s="24"/>
      <c r="D22" s="24"/>
      <c r="E22" s="24">
        <f>'[1]49-2011'!H30/1000</f>
        <v>75.016960999999995</v>
      </c>
      <c r="F22" s="24">
        <f>'[1]49-2011'!P30/1000</f>
        <v>94.776857000000007</v>
      </c>
      <c r="G22" s="24">
        <f>'[1]49-2011'!V30/1000</f>
        <v>113.63957600000001</v>
      </c>
      <c r="H22" s="24">
        <f>'[1]49-2011'!AB30/1000</f>
        <v>129.734037</v>
      </c>
      <c r="I22" s="24">
        <f>'[1]49-2011'!AH30/1000</f>
        <v>150.48340400000001</v>
      </c>
      <c r="J22" s="24">
        <f>'[1]49-2011'!AR30/1000</f>
        <v>157.60992800000002</v>
      </c>
      <c r="K22" s="24">
        <f>'[1]49-2011'!BB30/1000</f>
        <v>165.56948800000001</v>
      </c>
      <c r="L22" s="24">
        <f>'[1]49-2011'!BJ30/1000</f>
        <v>147.502443</v>
      </c>
      <c r="M22" s="27">
        <f>'[1]49-2011'!BM30/1000</f>
        <v>136.29856799999999</v>
      </c>
    </row>
    <row r="23" spans="1:14" ht="18" customHeight="1" x14ac:dyDescent="0.2">
      <c r="A23" s="38" t="s">
        <v>68</v>
      </c>
      <c r="B23" s="24"/>
      <c r="C23" s="24"/>
      <c r="D23" s="24"/>
      <c r="E23" s="24">
        <f>'[1]49-2011'!H31/1000</f>
        <v>55.148949000000002</v>
      </c>
      <c r="F23" s="24">
        <f>'[1]49-2011'!P31/1000</f>
        <v>65.854563999999996</v>
      </c>
      <c r="G23" s="24">
        <f>'[1]49-2011'!V31/1000</f>
        <v>87.448064000000002</v>
      </c>
      <c r="H23" s="24">
        <f>'[1]49-2011'!AB31/1000</f>
        <v>114.51815300000001</v>
      </c>
      <c r="I23" s="24">
        <f>'[1]49-2011'!AH31/1000</f>
        <v>142.76954199999997</v>
      </c>
      <c r="J23" s="24">
        <f>'[1]49-2011'!AR31/1000</f>
        <v>219.20100299999999</v>
      </c>
      <c r="K23" s="24">
        <f>'[1]49-2011'!BB31/1000</f>
        <v>365.908523</v>
      </c>
      <c r="L23" s="24">
        <f>'[1]49-2011'!BJ31/1000</f>
        <v>435.43965600000001</v>
      </c>
      <c r="M23" s="27">
        <f>'[1]49-2011'!BM31/1000</f>
        <v>442.56049300000001</v>
      </c>
    </row>
    <row r="24" spans="1:14" ht="18" customHeight="1" x14ac:dyDescent="0.2">
      <c r="A24" s="42" t="s">
        <v>69</v>
      </c>
      <c r="B24" s="43">
        <v>100</v>
      </c>
      <c r="C24" s="43">
        <v>148</v>
      </c>
      <c r="D24" s="43">
        <v>161</v>
      </c>
      <c r="E24" s="43">
        <f t="shared" ref="E24:M24" si="0">SUM(E21:E23)</f>
        <v>201.56768699999998</v>
      </c>
      <c r="F24" s="43">
        <f t="shared" si="0"/>
        <v>250.07906400000002</v>
      </c>
      <c r="G24" s="43">
        <f t="shared" si="0"/>
        <v>302.83970900000003</v>
      </c>
      <c r="H24" s="43">
        <f t="shared" si="0"/>
        <v>365.50595499999997</v>
      </c>
      <c r="I24" s="43">
        <f t="shared" si="0"/>
        <v>425.90061700000001</v>
      </c>
      <c r="J24" s="43">
        <f t="shared" si="0"/>
        <v>546.16951100000006</v>
      </c>
      <c r="K24" s="43">
        <f t="shared" si="0"/>
        <v>737.16632699999991</v>
      </c>
      <c r="L24" s="43">
        <f t="shared" si="0"/>
        <v>799.94483100000002</v>
      </c>
      <c r="M24" s="44">
        <f t="shared" si="0"/>
        <v>790.92987599999992</v>
      </c>
    </row>
    <row r="25" spans="1:14" ht="18" customHeight="1" x14ac:dyDescent="0.2">
      <c r="A25" s="38"/>
      <c r="B25" s="22"/>
      <c r="C25" s="22"/>
      <c r="D25" s="22"/>
      <c r="E25" s="22"/>
      <c r="F25" s="22"/>
      <c r="G25" s="22"/>
      <c r="H25" s="22"/>
      <c r="I25" s="22"/>
      <c r="J25" s="20"/>
      <c r="K25" s="20"/>
      <c r="L25" s="20"/>
      <c r="M25" s="21"/>
    </row>
    <row r="26" spans="1:14" ht="18" customHeight="1" x14ac:dyDescent="0.2">
      <c r="A26" s="38" t="s">
        <v>16</v>
      </c>
      <c r="B26" s="22">
        <f>'calcul intermédiaire2'!B26</f>
        <v>543.86114199600786</v>
      </c>
      <c r="C26" s="22">
        <f>'calcul intermédiaire2'!C26</f>
        <v>507.26487823552884</v>
      </c>
      <c r="D26" s="22">
        <f>'calcul intermédiaire2'!D26</f>
        <v>558.09302234730535</v>
      </c>
      <c r="E26" s="22">
        <f>'calcul intermédiaire2'!E26</f>
        <v>509.29800399999999</v>
      </c>
      <c r="F26" s="22">
        <f>'calcul intermédiaire2'!F26</f>
        <v>542.42024600000002</v>
      </c>
      <c r="G26" s="22">
        <f>'calcul intermédiaire2'!G26</f>
        <v>561.495901</v>
      </c>
      <c r="H26" s="22">
        <f>'calcul intermédiaire2'!H26</f>
        <v>606.61013500000001</v>
      </c>
      <c r="I26" s="22">
        <f>'calcul intermédiaire2'!I26</f>
        <v>602.70773299999996</v>
      </c>
      <c r="J26" s="22">
        <f>'calcul intermédiaire2'!J26</f>
        <v>783.28695400000004</v>
      </c>
      <c r="K26" s="22">
        <f>'calcul intermédiaire2'!K26</f>
        <v>934.55369900000005</v>
      </c>
      <c r="L26" s="22">
        <f>'calcul intermédiaire2'!L26</f>
        <v>1068.7797919999998</v>
      </c>
      <c r="M26" s="22">
        <f>'calcul intermédiaire2'!M26</f>
        <v>1143.9708189999999</v>
      </c>
    </row>
    <row r="27" spans="1:14" ht="18" customHeight="1" x14ac:dyDescent="0.2">
      <c r="A27" s="38"/>
      <c r="B27" s="22"/>
      <c r="C27" s="22"/>
      <c r="D27" s="22"/>
      <c r="E27" s="22"/>
      <c r="F27" s="22"/>
      <c r="G27" s="22"/>
      <c r="H27" s="22"/>
      <c r="I27" s="22"/>
      <c r="J27" s="20"/>
      <c r="K27" s="20"/>
      <c r="L27" s="20"/>
      <c r="M27" s="21"/>
    </row>
    <row r="28" spans="1:14" ht="18" customHeight="1" x14ac:dyDescent="0.2">
      <c r="A28" s="38" t="s">
        <v>3</v>
      </c>
      <c r="B28" s="22"/>
      <c r="C28" s="22"/>
      <c r="D28" s="22"/>
      <c r="E28" s="22"/>
      <c r="F28" s="22"/>
      <c r="G28" s="22"/>
      <c r="H28" s="22"/>
      <c r="I28" s="22"/>
      <c r="J28" s="20"/>
      <c r="K28" s="20"/>
      <c r="L28" s="20"/>
      <c r="M28" s="21"/>
    </row>
    <row r="29" spans="1:14" ht="18" customHeight="1" x14ac:dyDescent="0.2">
      <c r="A29" s="38" t="s">
        <v>18</v>
      </c>
      <c r="B29" s="22"/>
      <c r="C29" s="22"/>
      <c r="D29" s="22"/>
      <c r="E29" s="22"/>
      <c r="F29" s="22"/>
      <c r="G29" s="22"/>
      <c r="H29" s="22"/>
      <c r="I29" s="22"/>
      <c r="J29" s="20"/>
      <c r="K29" s="20"/>
      <c r="L29" s="20"/>
      <c r="M29" s="21"/>
    </row>
    <row r="30" spans="1:14" ht="18" customHeight="1" x14ac:dyDescent="0.2">
      <c r="A30" s="38" t="s">
        <v>19</v>
      </c>
      <c r="B30" s="47">
        <f>'emploi tertiaire série publiée'!C38</f>
        <v>257.24725828532422</v>
      </c>
      <c r="C30" s="47">
        <f>'emploi tertiaire série publiée'!D38</f>
        <v>375.15225166609781</v>
      </c>
      <c r="D30" s="47">
        <f>'emploi tertiaire série publiée'!E38</f>
        <v>486.62606358973829</v>
      </c>
      <c r="E30" s="47">
        <f>'emploi tertiaire série publiée'!F38</f>
        <v>754.59195763695095</v>
      </c>
      <c r="F30" s="47">
        <f>'emploi tertiaire série publiée'!G38</f>
        <v>859.2</v>
      </c>
      <c r="G30" s="47">
        <f>'emploi tertiaire série publiée'!H38</f>
        <v>970.9</v>
      </c>
      <c r="H30" s="47">
        <f>'emploi tertiaire série publiée'!I38</f>
        <v>1119.3</v>
      </c>
      <c r="I30" s="47">
        <f>'emploi tertiaire série publiée'!J38</f>
        <v>1292.3</v>
      </c>
      <c r="J30" s="47">
        <f>'emploi tertiaire série publiée'!K38</f>
        <v>1619</v>
      </c>
      <c r="K30" s="47">
        <f>'emploi tertiaire série publiée'!L38</f>
        <v>1606</v>
      </c>
      <c r="L30" s="47">
        <f>'emploi tertiaire série publiée'!M38</f>
        <v>1798.1</v>
      </c>
      <c r="M30" s="47">
        <f>'emploi tertiaire série publiée'!N38</f>
        <v>1888.3</v>
      </c>
      <c r="N30" s="47">
        <f>'emploi tertiaire série publiée'!O38</f>
        <v>2010</v>
      </c>
    </row>
    <row r="31" spans="1:14" ht="18" customHeight="1" x14ac:dyDescent="0.2">
      <c r="A31" s="38" t="s">
        <v>21</v>
      </c>
      <c r="B31" s="47">
        <f>'emploi tertiaire série publiée'!C39</f>
        <v>209.8614330447104</v>
      </c>
      <c r="C31" s="47">
        <f>'emploi tertiaire série publiée'!D39</f>
        <v>303.13318106458166</v>
      </c>
      <c r="D31" s="47">
        <f>'emploi tertiaire série publiée'!E39</f>
        <v>373.08699207948513</v>
      </c>
      <c r="E31" s="47">
        <f>'emploi tertiaire série publiée'!F39</f>
        <v>466.35874009935634</v>
      </c>
      <c r="F31" s="47">
        <f>'emploi tertiaire série publiée'!G39</f>
        <v>548.6</v>
      </c>
      <c r="G31" s="47">
        <f>'emploi tertiaire série publiée'!H39</f>
        <v>602.6</v>
      </c>
      <c r="H31" s="47">
        <f>'emploi tertiaire série publiée'!I39</f>
        <v>674.2</v>
      </c>
      <c r="I31" s="47">
        <f>'emploi tertiaire série publiée'!J39</f>
        <v>743.8</v>
      </c>
      <c r="J31" s="47">
        <f>'emploi tertiaire série publiée'!K39</f>
        <v>912.1</v>
      </c>
      <c r="K31" s="47">
        <f>'emploi tertiaire série publiée'!L39</f>
        <v>1577.4</v>
      </c>
      <c r="L31" s="47">
        <f>'emploi tertiaire série publiée'!M39</f>
        <v>1890.7</v>
      </c>
      <c r="M31" s="47">
        <f>'emploi tertiaire série publiée'!N39</f>
        <v>2009.2</v>
      </c>
      <c r="N31" s="47">
        <f>'emploi tertiaire série publiée'!O39</f>
        <v>2079.4</v>
      </c>
    </row>
    <row r="32" spans="1:14" ht="18" customHeight="1" x14ac:dyDescent="0.2">
      <c r="A32" s="38" t="s">
        <v>77</v>
      </c>
      <c r="B32" s="47">
        <f>'emploi tertiaire série publiée'!C25</f>
        <v>613.9912272725835</v>
      </c>
      <c r="C32" s="47">
        <f>'emploi tertiaire série publiée'!D25</f>
        <v>516.87765957446811</v>
      </c>
      <c r="D32" s="47">
        <f>'emploi tertiaire série publiée'!E25</f>
        <v>589.88297872340422</v>
      </c>
      <c r="E32" s="47">
        <f>'emploi tertiaire série publiée'!F25</f>
        <v>549</v>
      </c>
      <c r="F32" s="47">
        <f>'emploi tertiaire série publiée'!G25</f>
        <v>544.9</v>
      </c>
      <c r="G32" s="47">
        <f>'emploi tertiaire série publiée'!H25</f>
        <v>532.1</v>
      </c>
      <c r="H32" s="47">
        <f>'emploi tertiaire série publiée'!I25</f>
        <v>511</v>
      </c>
      <c r="I32" s="47">
        <f>'emploi tertiaire série publiée'!J25</f>
        <v>508.9</v>
      </c>
      <c r="J32" s="47">
        <f>'emploi tertiaire série publiée'!K25</f>
        <v>555.9</v>
      </c>
      <c r="K32" s="47">
        <f>'emploi tertiaire série publiée'!L25</f>
        <v>881.5</v>
      </c>
      <c r="L32" s="47">
        <f>'emploi tertiaire série publiée'!M25</f>
        <v>750.8</v>
      </c>
      <c r="M32" s="47">
        <f>'emploi tertiaire série publiée'!N25</f>
        <v>801.2</v>
      </c>
      <c r="N32" s="47">
        <f>'emploi tertiaire série publiée'!O25</f>
        <v>862.1</v>
      </c>
    </row>
    <row r="33" spans="1:14" ht="18" customHeight="1" x14ac:dyDescent="0.2">
      <c r="A33" s="38" t="s">
        <v>86</v>
      </c>
      <c r="B33" s="22">
        <f>'calcul intermédiaire2'!B33</f>
        <v>140.01332477449873</v>
      </c>
      <c r="C33" s="22">
        <f>'calcul intermédiaire2'!C33</f>
        <v>117.86774208510637</v>
      </c>
      <c r="D33" s="22">
        <f>'calcul intermédiaire2'!D33</f>
        <v>134.51572825531912</v>
      </c>
      <c r="E33" s="22">
        <f>'calcul intermédiaire2'!E33</f>
        <v>125.19285600000001</v>
      </c>
      <c r="F33" s="22">
        <f>'calcul intermédiaire2'!F33</f>
        <v>143.62457599999999</v>
      </c>
      <c r="G33" s="22">
        <f>'calcul intermédiaire2'!G33</f>
        <v>160.03877</v>
      </c>
      <c r="H33" s="22">
        <f>'calcul intermédiaire2'!H33</f>
        <v>199.63588200000001</v>
      </c>
      <c r="I33" s="22">
        <f>'calcul intermédiaire2'!I33</f>
        <v>229.43494699999999</v>
      </c>
      <c r="J33" s="22">
        <f>'calcul intermédiaire2'!J33</f>
        <v>295.12589700000001</v>
      </c>
      <c r="K33" s="22">
        <f>'calcul intermédiaire2'!K33</f>
        <v>416.47347100000002</v>
      </c>
      <c r="L33" s="22">
        <f>'calcul intermédiaire2'!L33</f>
        <v>531.98598100000004</v>
      </c>
      <c r="M33" s="22">
        <f>'calcul intermédiaire2'!M33</f>
        <v>565.65884300000005</v>
      </c>
    </row>
    <row r="34" spans="1:14" ht="18" customHeight="1" x14ac:dyDescent="0.2">
      <c r="A34" s="38" t="s">
        <v>95</v>
      </c>
      <c r="B34" s="24">
        <f t="shared" ref="B34:M34" si="1">B30+B31+B32+B33</f>
        <v>1221.1132433771168</v>
      </c>
      <c r="C34" s="24">
        <f t="shared" si="1"/>
        <v>1313.0308343902539</v>
      </c>
      <c r="D34" s="24">
        <f t="shared" si="1"/>
        <v>1584.1117626479468</v>
      </c>
      <c r="E34" s="24">
        <f t="shared" si="1"/>
        <v>1895.1435537363072</v>
      </c>
      <c r="F34" s="24">
        <f t="shared" si="1"/>
        <v>2096.3245760000004</v>
      </c>
      <c r="G34" s="24">
        <f t="shared" si="1"/>
        <v>2265.63877</v>
      </c>
      <c r="H34" s="24">
        <f t="shared" si="1"/>
        <v>2504.135882</v>
      </c>
      <c r="I34" s="24">
        <f t="shared" si="1"/>
        <v>2774.4349470000002</v>
      </c>
      <c r="J34" s="24">
        <f t="shared" si="1"/>
        <v>3382.1258969999999</v>
      </c>
      <c r="K34" s="24">
        <f t="shared" si="1"/>
        <v>4481.3734709999999</v>
      </c>
      <c r="L34" s="24">
        <f t="shared" si="1"/>
        <v>4971.5859810000002</v>
      </c>
      <c r="M34" s="27">
        <f t="shared" si="1"/>
        <v>5264.358843</v>
      </c>
    </row>
    <row r="35" spans="1:14" ht="18" customHeight="1" x14ac:dyDescent="0.2">
      <c r="A35" s="38"/>
      <c r="B35" s="24"/>
      <c r="C35" s="24"/>
      <c r="D35" s="24"/>
      <c r="E35" s="24"/>
      <c r="F35" s="24"/>
      <c r="G35" s="24"/>
      <c r="H35" s="24"/>
      <c r="I35" s="24"/>
      <c r="J35" s="20"/>
      <c r="K35" s="20"/>
      <c r="L35" s="20"/>
      <c r="M35" s="21"/>
    </row>
    <row r="36" spans="1:14" ht="18" customHeight="1" x14ac:dyDescent="0.2">
      <c r="A36" s="42" t="s">
        <v>62</v>
      </c>
      <c r="B36" s="43">
        <f t="shared" ref="B36:M36" si="2">B9+B19+B34+B26+B24</f>
        <v>2234.1117315598904</v>
      </c>
      <c r="C36" s="43">
        <f t="shared" si="2"/>
        <v>2536.8970360531157</v>
      </c>
      <c r="D36" s="43">
        <f t="shared" si="2"/>
        <v>2918.8320437171415</v>
      </c>
      <c r="E36" s="43">
        <f t="shared" si="2"/>
        <v>3388.6360197363074</v>
      </c>
      <c r="F36" s="43">
        <f t="shared" si="2"/>
        <v>3793.1618860000008</v>
      </c>
      <c r="G36" s="43">
        <f t="shared" si="2"/>
        <v>4289.9897879999999</v>
      </c>
      <c r="H36" s="43">
        <f t="shared" si="2"/>
        <v>4957.2110789999997</v>
      </c>
      <c r="I36" s="43">
        <f t="shared" si="2"/>
        <v>5626.4100950000011</v>
      </c>
      <c r="J36" s="43">
        <f t="shared" si="2"/>
        <v>7272.0018700000001</v>
      </c>
      <c r="K36" s="43">
        <f t="shared" si="2"/>
        <v>9665.4760029999998</v>
      </c>
      <c r="L36" s="43">
        <f t="shared" si="2"/>
        <v>10881.187515</v>
      </c>
      <c r="M36" s="45">
        <f t="shared" si="2"/>
        <v>11282.463971000001</v>
      </c>
    </row>
    <row r="37" spans="1:14" ht="18" customHeight="1" x14ac:dyDescent="0.2">
      <c r="A37" s="38"/>
      <c r="B37" s="22"/>
      <c r="C37" s="22"/>
      <c r="D37" s="22"/>
      <c r="E37" s="22"/>
      <c r="F37" s="22"/>
      <c r="G37" s="22"/>
      <c r="H37" s="22"/>
      <c r="I37" s="22"/>
      <c r="J37" s="20"/>
      <c r="K37" s="20"/>
      <c r="L37" s="20"/>
      <c r="M37" s="21"/>
    </row>
    <row r="38" spans="1:14" ht="18" customHeight="1" x14ac:dyDescent="0.2">
      <c r="A38" s="38"/>
      <c r="B38" s="22"/>
      <c r="C38" s="22"/>
      <c r="D38" s="22"/>
      <c r="E38" s="22"/>
      <c r="F38" s="22"/>
      <c r="G38" s="22"/>
      <c r="H38" s="22"/>
      <c r="I38" s="22"/>
      <c r="J38" s="20"/>
      <c r="K38" s="20"/>
      <c r="L38" s="20"/>
      <c r="M38" s="21"/>
    </row>
    <row r="39" spans="1:14" ht="18" customHeight="1" x14ac:dyDescent="0.2">
      <c r="A39" s="38" t="s">
        <v>75</v>
      </c>
      <c r="B39" s="22"/>
      <c r="C39" s="22"/>
      <c r="D39" s="22"/>
      <c r="E39" s="22"/>
      <c r="F39" s="22"/>
      <c r="G39" s="22"/>
      <c r="H39" s="22"/>
      <c r="I39" s="22"/>
      <c r="J39" s="20"/>
      <c r="K39" s="20"/>
      <c r="L39" s="20"/>
      <c r="M39" s="21"/>
    </row>
    <row r="40" spans="1:14" ht="18" customHeight="1" x14ac:dyDescent="0.2">
      <c r="A40" s="38" t="s">
        <v>89</v>
      </c>
      <c r="B40" s="22">
        <f>'emploi tertiaire série publiée'!C33</f>
        <v>246.72972661343391</v>
      </c>
      <c r="C40" s="22">
        <f>'emploi tertiaire série publiée'!D33</f>
        <v>155.4259719944358</v>
      </c>
      <c r="D40" s="22">
        <f>'emploi tertiaire série publiée'!E33</f>
        <v>130.00727560864985</v>
      </c>
      <c r="E40" s="22">
        <f>'emploi tertiaire série publiée'!F33</f>
        <v>101.05967405678973</v>
      </c>
      <c r="F40" s="22">
        <f>'emploi tertiaire série publiée'!G33</f>
        <v>92.9</v>
      </c>
      <c r="G40" s="22">
        <f>'emploi tertiaire série publiée'!H33</f>
        <v>88.1</v>
      </c>
      <c r="H40" s="22">
        <f>'emploi tertiaire série publiée'!I33</f>
        <v>75.7</v>
      </c>
      <c r="I40" s="22">
        <f>'emploi tertiaire série publiée'!J33</f>
        <v>58.4</v>
      </c>
      <c r="J40" s="22">
        <f>'emploi tertiaire série publiée'!K33</f>
        <v>67</v>
      </c>
      <c r="K40" s="22">
        <f>'emploi tertiaire série publiée'!L33</f>
        <v>132.6</v>
      </c>
      <c r="L40" s="22">
        <f>'emploi tertiaire série publiée'!M33</f>
        <v>184.8</v>
      </c>
      <c r="M40" s="22">
        <f>'emploi tertiaire série publiée'!N33</f>
        <v>182.3</v>
      </c>
      <c r="N40" s="22">
        <f>'emploi tertiaire série publiée'!O33</f>
        <v>152.19999999999999</v>
      </c>
    </row>
    <row r="41" spans="1:14" ht="18" customHeight="1" x14ac:dyDescent="0.2">
      <c r="A41" s="38" t="s">
        <v>90</v>
      </c>
      <c r="B41" s="24"/>
      <c r="C41" s="24"/>
      <c r="D41" s="24"/>
      <c r="E41" s="24"/>
      <c r="F41" s="24"/>
      <c r="G41" s="24"/>
      <c r="H41" s="24"/>
      <c r="I41" s="24"/>
      <c r="J41" s="20"/>
      <c r="K41" s="20"/>
      <c r="L41" s="20"/>
      <c r="M41" s="21"/>
    </row>
    <row r="42" spans="1:14" ht="18" customHeight="1" x14ac:dyDescent="0.2">
      <c r="A42" s="38"/>
      <c r="B42" s="24"/>
      <c r="C42" s="24"/>
      <c r="D42" s="24"/>
      <c r="E42" s="24"/>
      <c r="F42" s="24"/>
      <c r="G42" s="24"/>
      <c r="H42" s="24"/>
      <c r="I42" s="24"/>
      <c r="J42" s="20"/>
      <c r="K42" s="20"/>
      <c r="L42" s="20"/>
      <c r="M42" s="21"/>
    </row>
    <row r="43" spans="1:14" ht="18" customHeight="1" x14ac:dyDescent="0.2">
      <c r="A43" s="38" t="s">
        <v>32</v>
      </c>
      <c r="B43" s="22">
        <f>'calcul intermédiaire2'!B43</f>
        <v>1459.937005012742</v>
      </c>
      <c r="C43" s="22">
        <f>'calcul intermédiaire2'!C43</f>
        <v>1338.7346876154577</v>
      </c>
      <c r="D43" s="22">
        <f>'calcul intermédiaire2'!D43</f>
        <v>1451.6710681711879</v>
      </c>
      <c r="E43" s="22">
        <f>'calcul intermédiaire2'!E43</f>
        <v>2248.8006249999999</v>
      </c>
      <c r="F43" s="22">
        <f>'calcul intermédiaire2'!F43</f>
        <v>2473.8239720000001</v>
      </c>
      <c r="G43" s="22">
        <f>'calcul intermédiaire2'!G43</f>
        <v>2535.7553539999999</v>
      </c>
      <c r="H43" s="22">
        <f>'calcul intermédiaire2'!H43</f>
        <v>2887.4748730000001</v>
      </c>
      <c r="I43" s="22">
        <f>'calcul intermédiaire2'!I43</f>
        <v>3301.4014310000002</v>
      </c>
      <c r="J43" s="22">
        <f>'calcul intermédiaire2'!J43</f>
        <v>3922.574541</v>
      </c>
      <c r="K43" s="22">
        <f>'calcul intermédiaire2'!K43</f>
        <v>4341.6678570000004</v>
      </c>
      <c r="L43" s="22">
        <f>'calcul intermédiaire2'!L43</f>
        <v>4359.3818369999999</v>
      </c>
      <c r="M43" s="22">
        <f>'calcul intermédiaire2'!M43</f>
        <v>4224.8768849999997</v>
      </c>
    </row>
    <row r="44" spans="1:14" ht="18" customHeight="1" x14ac:dyDescent="0.2">
      <c r="A44" s="38" t="s">
        <v>33</v>
      </c>
      <c r="B44" s="24"/>
      <c r="C44" s="24"/>
      <c r="D44" s="24"/>
      <c r="E44" s="24"/>
      <c r="F44" s="24"/>
      <c r="G44" s="24"/>
      <c r="H44" s="24"/>
      <c r="I44" s="24"/>
      <c r="J44" s="20"/>
      <c r="K44" s="20"/>
      <c r="L44" s="20"/>
      <c r="M44" s="21"/>
    </row>
    <row r="45" spans="1:14" ht="18" customHeight="1" x14ac:dyDescent="0.2">
      <c r="A45" s="38" t="s">
        <v>73</v>
      </c>
      <c r="B45" s="24"/>
      <c r="C45" s="24"/>
      <c r="D45" s="24"/>
      <c r="E45" s="22">
        <f>'calcul intermédiaire2'!E45</f>
        <v>1412.3765100000001</v>
      </c>
      <c r="F45" s="22">
        <f>'calcul intermédiaire2'!F45</f>
        <v>1514.331463</v>
      </c>
      <c r="G45" s="22">
        <f>'calcul intermédiaire2'!G45</f>
        <v>1488.622744</v>
      </c>
      <c r="H45" s="22">
        <f>'calcul intermédiaire2'!H45</f>
        <v>1705.9640300000001</v>
      </c>
      <c r="I45" s="22">
        <f>'calcul intermédiaire2'!I45</f>
        <v>1949.1654920000001</v>
      </c>
      <c r="J45" s="22">
        <f>'calcul intermédiaire2'!J45</f>
        <v>2265.2332059999999</v>
      </c>
      <c r="K45" s="22">
        <f>'calcul intermédiaire2'!K45</f>
        <v>2496.3279810000004</v>
      </c>
      <c r="L45" s="22">
        <f>'calcul intermédiaire2'!L45</f>
        <v>2483.374503</v>
      </c>
      <c r="M45" s="22">
        <f>'calcul intermédiaire2'!M45</f>
        <v>2386.7357019999999</v>
      </c>
    </row>
    <row r="46" spans="1:14" ht="18" customHeight="1" x14ac:dyDescent="0.2">
      <c r="A46" s="38" t="s">
        <v>72</v>
      </c>
      <c r="B46" s="24"/>
      <c r="C46" s="24"/>
      <c r="D46" s="24"/>
      <c r="E46" s="22">
        <f>'calcul intermédiaire2'!E46</f>
        <v>836.42411500000003</v>
      </c>
      <c r="F46" s="22">
        <f>'calcul intermédiaire2'!F46</f>
        <v>959.49250899999993</v>
      </c>
      <c r="G46" s="22">
        <f>'calcul intermédiaire2'!G46</f>
        <v>1047.1326099999999</v>
      </c>
      <c r="H46" s="22">
        <f>'calcul intermédiaire2'!H46</f>
        <v>1181.510843</v>
      </c>
      <c r="I46" s="22">
        <f>'calcul intermédiaire2'!I46</f>
        <v>1352.2359389999999</v>
      </c>
      <c r="J46" s="22">
        <f>'calcul intermédiaire2'!J46</f>
        <v>1657.3413350000001</v>
      </c>
      <c r="K46" s="22">
        <f>'calcul intermédiaire2'!K46</f>
        <v>1845.339876</v>
      </c>
      <c r="L46" s="22">
        <f>'calcul intermédiaire2'!L46</f>
        <v>1876.0073340000001</v>
      </c>
      <c r="M46" s="22">
        <f>'calcul intermédiaire2'!M46</f>
        <v>1838.141183</v>
      </c>
    </row>
    <row r="47" spans="1:14" ht="18" customHeight="1" x14ac:dyDescent="0.2">
      <c r="A47" s="38" t="s">
        <v>91</v>
      </c>
      <c r="B47" s="28">
        <f t="shared" ref="B47:M47" si="3">B40+B43</f>
        <v>1706.666731626176</v>
      </c>
      <c r="C47" s="28">
        <f t="shared" si="3"/>
        <v>1494.1606596098934</v>
      </c>
      <c r="D47" s="28">
        <f t="shared" si="3"/>
        <v>1581.6783437798379</v>
      </c>
      <c r="E47" s="28">
        <f t="shared" si="3"/>
        <v>2349.8602990567897</v>
      </c>
      <c r="F47" s="28">
        <f t="shared" si="3"/>
        <v>2566.7239720000002</v>
      </c>
      <c r="G47" s="28">
        <f t="shared" si="3"/>
        <v>2623.8553539999998</v>
      </c>
      <c r="H47" s="28">
        <f t="shared" si="3"/>
        <v>2963.1748729999999</v>
      </c>
      <c r="I47" s="28">
        <f t="shared" si="3"/>
        <v>3359.8014310000003</v>
      </c>
      <c r="J47" s="28">
        <f t="shared" si="3"/>
        <v>3989.574541</v>
      </c>
      <c r="K47" s="28">
        <f t="shared" si="3"/>
        <v>4474.2678570000007</v>
      </c>
      <c r="L47" s="28">
        <f t="shared" si="3"/>
        <v>4544.1818370000001</v>
      </c>
      <c r="M47" s="29">
        <f t="shared" si="3"/>
        <v>4407.1768849999999</v>
      </c>
    </row>
    <row r="48" spans="1:14" ht="18" customHeight="1" x14ac:dyDescent="0.2">
      <c r="A48" s="38"/>
      <c r="B48" s="24"/>
      <c r="C48" s="24"/>
      <c r="D48" s="24"/>
      <c r="E48" s="24"/>
      <c r="F48" s="24"/>
      <c r="G48" s="24"/>
      <c r="H48" s="24"/>
      <c r="I48" s="24"/>
      <c r="J48" s="20"/>
      <c r="K48" s="20"/>
      <c r="L48" s="20"/>
      <c r="M48" s="21"/>
    </row>
    <row r="49" spans="1:17" ht="18" customHeight="1" x14ac:dyDescent="0.2">
      <c r="A49" s="38" t="s">
        <v>55</v>
      </c>
      <c r="B49" s="22">
        <f>'calcul intermédiaire2'!B49</f>
        <v>91.90572657435898</v>
      </c>
      <c r="C49" s="22">
        <f>'calcul intermédiaire2'!C49</f>
        <v>218.55630100000002</v>
      </c>
      <c r="D49" s="22">
        <f>'calcul intermédiaire2'!D49</f>
        <v>235.36832415384617</v>
      </c>
      <c r="E49" s="22">
        <f>'calcul intermédiaire2'!E49</f>
        <v>218.55630100000002</v>
      </c>
      <c r="F49" s="22">
        <f>'calcul intermédiaire2'!F49</f>
        <v>284.52291100000002</v>
      </c>
      <c r="G49" s="22">
        <f>'calcul intermédiaire2'!G49</f>
        <v>366.47905400000002</v>
      </c>
      <c r="H49" s="22">
        <f>'calcul intermédiaire2'!H49</f>
        <v>549.24476200000004</v>
      </c>
      <c r="I49" s="22">
        <f>'calcul intermédiaire2'!I49</f>
        <v>651.11641000000009</v>
      </c>
      <c r="J49" s="22">
        <f>'calcul intermédiaire2'!J49</f>
        <v>721.82863699999996</v>
      </c>
      <c r="K49" s="22">
        <f>'calcul intermédiaire2'!K49</f>
        <v>694.68526199999997</v>
      </c>
      <c r="L49" s="22">
        <f>'calcul intermédiaire2'!L49</f>
        <v>762.46464099999992</v>
      </c>
      <c r="M49" s="22">
        <f>'calcul intermédiaire2'!M49</f>
        <v>776.42248499999994</v>
      </c>
    </row>
    <row r="50" spans="1:17" ht="18" customHeight="1" x14ac:dyDescent="0.2">
      <c r="A50" s="38"/>
      <c r="B50" s="24"/>
      <c r="C50" s="24"/>
      <c r="D50" s="24"/>
      <c r="E50" s="24"/>
      <c r="F50" s="24"/>
      <c r="G50" s="24"/>
      <c r="H50" s="24"/>
      <c r="I50" s="24"/>
      <c r="J50" s="20"/>
      <c r="K50" s="20"/>
      <c r="L50" s="20"/>
      <c r="M50" s="21"/>
    </row>
    <row r="51" spans="1:17" ht="18" customHeight="1" x14ac:dyDescent="0.2">
      <c r="A51" s="38" t="s">
        <v>37</v>
      </c>
      <c r="B51" s="48">
        <f>'emploi tertiaire série publiée'!C43</f>
        <v>1203.9146586345382</v>
      </c>
      <c r="C51" s="48">
        <f>'emploi tertiaire série publiée'!D43</f>
        <v>1544.4248493975904</v>
      </c>
      <c r="D51" s="48">
        <f>'emploi tertiaire série publiée'!E43</f>
        <v>1691.7696285140562</v>
      </c>
      <c r="E51" s="48">
        <f>'emploi tertiaire série publiée'!F43</f>
        <v>1789.7</v>
      </c>
      <c r="F51" s="48">
        <f>'emploi tertiaire série publiée'!G43</f>
        <v>2110.5</v>
      </c>
      <c r="G51" s="48">
        <f>'emploi tertiaire série publiée'!H43</f>
        <v>2425.1999999999998</v>
      </c>
      <c r="H51" s="48">
        <f>'emploi tertiaire série publiée'!I43</f>
        <v>2677.3</v>
      </c>
      <c r="I51" s="48">
        <f>'emploi tertiaire série publiée'!J43</f>
        <v>2830.9</v>
      </c>
      <c r="J51" s="48">
        <f>'emploi tertiaire série publiée'!K43</f>
        <v>3001</v>
      </c>
      <c r="K51" s="48">
        <f>'emploi tertiaire série publiée'!L43</f>
        <v>3182.7</v>
      </c>
      <c r="L51" s="48">
        <f>'emploi tertiaire série publiée'!M43</f>
        <v>3458.2</v>
      </c>
      <c r="M51" s="48">
        <f>'emploi tertiaire série publiée'!N43</f>
        <v>3458</v>
      </c>
      <c r="N51" s="48">
        <f>'emploi tertiaire série publiée'!O43</f>
        <v>3455.6</v>
      </c>
    </row>
    <row r="52" spans="1:17" ht="18" customHeight="1" x14ac:dyDescent="0.2">
      <c r="A52" s="38"/>
      <c r="B52" s="24"/>
      <c r="C52" s="24"/>
      <c r="D52" s="24"/>
      <c r="E52" s="24"/>
      <c r="F52" s="24"/>
      <c r="G52" s="24"/>
      <c r="H52" s="24"/>
      <c r="I52" s="24"/>
      <c r="J52" s="20"/>
      <c r="K52" s="20"/>
      <c r="L52" s="20"/>
      <c r="M52" s="21"/>
    </row>
    <row r="53" spans="1:17" ht="18" customHeight="1" x14ac:dyDescent="0.2">
      <c r="A53" s="38" t="s">
        <v>87</v>
      </c>
      <c r="B53" s="24"/>
      <c r="C53" s="24"/>
      <c r="D53" s="24"/>
      <c r="E53" s="24"/>
      <c r="F53" s="24"/>
      <c r="G53" s="24"/>
      <c r="H53" s="24"/>
      <c r="I53" s="24"/>
      <c r="J53" s="20"/>
      <c r="K53" s="20"/>
      <c r="L53" s="20"/>
      <c r="M53" s="21"/>
    </row>
    <row r="54" spans="1:17" ht="18" customHeight="1" x14ac:dyDescent="0.2">
      <c r="A54" s="38" t="s">
        <v>92</v>
      </c>
      <c r="B54" s="22">
        <f>'calcul intermédiaire2'!B54</f>
        <v>467.08873278007525</v>
      </c>
      <c r="C54" s="22">
        <f>'calcul intermédiaire2'!C54</f>
        <v>777.72287737080694</v>
      </c>
      <c r="D54" s="22">
        <f>'calcul intermédiaire2'!D54</f>
        <v>663.78085200220119</v>
      </c>
      <c r="E54" s="22">
        <f>'calcul intermédiaire2'!E54</f>
        <v>543.32052185620478</v>
      </c>
      <c r="F54" s="22">
        <f>'calcul intermédiaire2'!F54</f>
        <v>557.19309836662524</v>
      </c>
      <c r="G54" s="22">
        <f>'calcul intermédiaire2'!G54</f>
        <v>593.15592839816679</v>
      </c>
      <c r="H54" s="22">
        <f>'calcul intermédiaire2'!H54</f>
        <v>607.92665330372415</v>
      </c>
      <c r="I54" s="22">
        <f>'calcul intermédiaire2'!I54</f>
        <v>631.69283858742858</v>
      </c>
      <c r="J54" s="22">
        <f>'calcul intermédiaire2'!J54</f>
        <v>680.79629399999999</v>
      </c>
      <c r="K54" s="22">
        <f>'calcul intermédiaire2'!K54</f>
        <v>713.59596299999998</v>
      </c>
      <c r="L54" s="22">
        <f>'calcul intermédiaire2'!L54</f>
        <v>780.12035900000001</v>
      </c>
      <c r="M54" s="22">
        <f>'calcul intermédiaire2'!M54</f>
        <v>797.36707699999999</v>
      </c>
      <c r="N54" s="15">
        <f>'[2]t_6208 en niveau'!$BS$30</f>
        <v>1234.2235889999999</v>
      </c>
    </row>
    <row r="55" spans="1:17" ht="18" customHeight="1" x14ac:dyDescent="0.2">
      <c r="A55" s="38" t="s">
        <v>60</v>
      </c>
      <c r="B55" s="22">
        <f>'calcul intermédiaire2'!B55</f>
        <v>25.146199882715088</v>
      </c>
      <c r="C55" s="22">
        <f>'calcul intermédiaire2'!C55</f>
        <v>36.042886498558296</v>
      </c>
      <c r="D55" s="22">
        <f>'calcul intermédiaire2'!D55</f>
        <v>40.233919812344141</v>
      </c>
      <c r="E55" s="22">
        <f>'calcul intermédiaire2'!E55</f>
        <v>48.615986439915837</v>
      </c>
      <c r="F55" s="22">
        <f>'calcul intermédiaire2'!F55</f>
        <v>80.423979659873751</v>
      </c>
      <c r="G55" s="22">
        <f>'calcul intermédiaire2'!G55</f>
        <v>99.950228792724104</v>
      </c>
      <c r="H55" s="22">
        <f>'calcul intermédiaire2'!H55</f>
        <v>136.02407739657144</v>
      </c>
      <c r="I55" s="22">
        <f>'calcul intermédiaire2'!I55</f>
        <v>156.05626592000002</v>
      </c>
      <c r="J55" s="22">
        <f>'calcul intermédiaire2'!J55</f>
        <v>194.25506899999999</v>
      </c>
      <c r="K55" s="22">
        <f>'calcul intermédiaire2'!K55</f>
        <v>253.50820100000001</v>
      </c>
      <c r="L55" s="22">
        <f>'calcul intermédiaire2'!L55</f>
        <v>272.34986499999997</v>
      </c>
      <c r="M55" s="22">
        <f>'calcul intermédiaire2'!M55</f>
        <v>259.858251</v>
      </c>
    </row>
    <row r="56" spans="1:17" ht="18" customHeight="1" x14ac:dyDescent="0.2">
      <c r="A56" s="38" t="s">
        <v>93</v>
      </c>
      <c r="B56" s="22">
        <f>'calcul intermédiaire2'!B56</f>
        <v>72</v>
      </c>
      <c r="C56" s="22">
        <f>'calcul intermédiaire2'!C56</f>
        <v>63</v>
      </c>
      <c r="D56" s="22">
        <f>'calcul intermédiaire2'!D56</f>
        <v>67</v>
      </c>
      <c r="E56" s="22">
        <f>'calcul intermédiaire2'!E56</f>
        <v>62.852471266870438</v>
      </c>
      <c r="F56" s="22">
        <f>'calcul intermédiaire2'!F56</f>
        <v>63.085029406405319</v>
      </c>
      <c r="G56" s="22">
        <f>'calcul intermédiaire2'!G56</f>
        <v>60.294953276225911</v>
      </c>
      <c r="H56" s="22">
        <f>'calcul intermédiaire2'!H56</f>
        <v>53.629944060863785</v>
      </c>
      <c r="I56" s="22">
        <f>'calcul intermédiaire2'!I56</f>
        <v>42.392327341714285</v>
      </c>
      <c r="J56" s="22">
        <f>'calcul intermédiaire2'!J56</f>
        <v>23.274804</v>
      </c>
      <c r="K56" s="22">
        <f>'calcul intermédiaire2'!K56</f>
        <v>11.797596</v>
      </c>
      <c r="L56" s="22">
        <f>'calcul intermédiaire2'!L56</f>
        <v>13.675360000000001</v>
      </c>
      <c r="M56" s="22">
        <f>'calcul intermédiaire2'!M56</f>
        <v>15.298076999999999</v>
      </c>
    </row>
    <row r="57" spans="1:17" ht="18" customHeight="1" x14ac:dyDescent="0.2">
      <c r="A57" s="38" t="s">
        <v>45</v>
      </c>
      <c r="B57" s="22">
        <f>'calcul intermédiaire2'!B57</f>
        <v>0</v>
      </c>
      <c r="C57" s="22">
        <f>'calcul intermédiaire2'!C57</f>
        <v>2.0040974113841208</v>
      </c>
      <c r="D57" s="22">
        <f>'calcul intermédiaire2'!D57</f>
        <v>9.0368767024570875</v>
      </c>
      <c r="E57" s="22">
        <f>'calcul intermédiaire2'!E57</f>
        <v>12.049168936609451</v>
      </c>
      <c r="F57" s="22">
        <f>'calcul intermédiaire2'!F57</f>
        <v>17.069655993530056</v>
      </c>
      <c r="G57" s="22">
        <f>'calcul intermédiaire2'!G57</f>
        <v>26.921867284983609</v>
      </c>
      <c r="H57" s="22">
        <f>'calcul intermédiaire2'!H57</f>
        <v>37.242178499147542</v>
      </c>
      <c r="I57" s="22">
        <f>'calcul intermédiaire2'!I57</f>
        <v>51.460230150857143</v>
      </c>
      <c r="J57" s="22">
        <f>'calcul intermédiaire2'!J57</f>
        <v>61.317029999999995</v>
      </c>
      <c r="K57" s="22">
        <f>'calcul intermédiaire2'!K57</f>
        <v>74.557501000000002</v>
      </c>
      <c r="L57" s="22">
        <f>'calcul intermédiaire2'!L57</f>
        <v>79.295929999999998</v>
      </c>
      <c r="M57" s="22">
        <f>'calcul intermédiaire2'!M57</f>
        <v>71.085082</v>
      </c>
    </row>
    <row r="58" spans="1:17" ht="18" customHeight="1" x14ac:dyDescent="0.2">
      <c r="A58" s="38" t="s">
        <v>70</v>
      </c>
      <c r="B58" s="22">
        <f>'calcul intermédiaire2'!B58</f>
        <v>61.124015948637862</v>
      </c>
      <c r="C58" s="22">
        <f>'calcul intermédiaire2'!C58</f>
        <v>62.607170400500536</v>
      </c>
      <c r="D58" s="22">
        <f>'calcul intermédiaire2'!D58</f>
        <v>75.844932732997449</v>
      </c>
      <c r="E58" s="22">
        <f>'calcul intermédiaire2'!E58</f>
        <v>135.62256950039955</v>
      </c>
      <c r="F58" s="22">
        <f>'calcul intermédiaire2'!F58</f>
        <v>160.29352457356549</v>
      </c>
      <c r="G58" s="22">
        <f>'calcul intermédiaire2'!G58</f>
        <v>192.51352824789967</v>
      </c>
      <c r="H58" s="22">
        <f>'calcul intermédiaire2'!H58</f>
        <v>222.54699373969333</v>
      </c>
      <c r="I58" s="22">
        <f>'calcul intermédiaire2'!I58</f>
        <v>250.00000000000011</v>
      </c>
      <c r="J58" s="22">
        <f>'calcul intermédiaire2'!J58</f>
        <v>250.983453</v>
      </c>
      <c r="K58" s="22">
        <f>'calcul intermédiaire2'!K58</f>
        <v>267.21143000000001</v>
      </c>
      <c r="L58" s="22">
        <f>'calcul intermédiaire2'!L58</f>
        <v>261.96576199999998</v>
      </c>
      <c r="M58" s="22">
        <f>'calcul intermédiaire2'!M58</f>
        <v>244.85614100000001</v>
      </c>
    </row>
    <row r="59" spans="1:17" ht="18" customHeight="1" x14ac:dyDescent="0.2">
      <c r="A59" s="38" t="s">
        <v>47</v>
      </c>
      <c r="B59" s="28">
        <f>'emploi tertiaire série publiée'!C45</f>
        <v>609.21530754892831</v>
      </c>
      <c r="C59" s="28">
        <f>'emploi tertiaire série publiée'!D45</f>
        <v>916.27250000000004</v>
      </c>
      <c r="D59" s="28">
        <f>'emploi tertiaire série publiée'!E45</f>
        <v>832.5</v>
      </c>
      <c r="E59" s="28">
        <f>'emploi tertiaire série publiée'!F45</f>
        <v>780</v>
      </c>
      <c r="F59" s="28">
        <f>'emploi tertiaire série publiée'!G45</f>
        <v>857.4</v>
      </c>
      <c r="G59" s="28">
        <f>'emploi tertiaire série publiée'!H45</f>
        <v>953.4</v>
      </c>
      <c r="H59" s="28">
        <f>'emploi tertiaire série publiée'!I45</f>
        <v>1037.8</v>
      </c>
      <c r="I59" s="28">
        <f>'emploi tertiaire série publiée'!J45</f>
        <v>1110.7</v>
      </c>
      <c r="J59" s="28">
        <f>'emploi tertiaire série publiée'!K45</f>
        <v>1195.9000000000001</v>
      </c>
      <c r="K59" s="28">
        <f>'emploi tertiaire série publiée'!L45</f>
        <v>1322.2</v>
      </c>
      <c r="L59" s="28">
        <f>'emploi tertiaire série publiée'!M45</f>
        <v>1406.3</v>
      </c>
      <c r="M59" s="28">
        <f>'emploi tertiaire série publiée'!N45</f>
        <v>1377.8</v>
      </c>
      <c r="N59" s="28">
        <f>'emploi tertiaire série publiée'!O45</f>
        <v>1389.1</v>
      </c>
    </row>
    <row r="60" spans="1:17" ht="18" customHeight="1" x14ac:dyDescent="0.2">
      <c r="A60" s="38"/>
      <c r="B60" s="24"/>
      <c r="C60" s="24"/>
      <c r="D60" s="24"/>
      <c r="E60" s="24"/>
      <c r="F60" s="24"/>
      <c r="G60" s="24"/>
      <c r="H60" s="24"/>
      <c r="I60" s="24"/>
      <c r="J60" s="20"/>
      <c r="K60" s="20"/>
      <c r="L60" s="20"/>
      <c r="M60" s="21"/>
    </row>
    <row r="61" spans="1:17" ht="18" customHeight="1" x14ac:dyDescent="0.2">
      <c r="A61" s="38"/>
      <c r="B61" s="20"/>
      <c r="C61" s="20"/>
      <c r="D61" s="20"/>
      <c r="E61" s="30"/>
      <c r="F61" s="20"/>
      <c r="G61" s="20"/>
      <c r="H61" s="20"/>
      <c r="I61" s="20"/>
      <c r="J61" s="20"/>
      <c r="K61" s="20"/>
      <c r="L61" s="20"/>
      <c r="M61" s="21"/>
    </row>
    <row r="62" spans="1:17" ht="18" customHeight="1" x14ac:dyDescent="0.2">
      <c r="A62" s="38" t="s">
        <v>49</v>
      </c>
      <c r="B62" s="31">
        <f t="shared" ref="B62:M62" si="4">B9+B19+B26+B30+B31+B32+B33+B47+B49+B51+B59+B24</f>
        <v>5845.8141559438927</v>
      </c>
      <c r="C62" s="31">
        <f t="shared" si="4"/>
        <v>6710.3113460605982</v>
      </c>
      <c r="D62" s="31">
        <f t="shared" si="4"/>
        <v>7260.148340164882</v>
      </c>
      <c r="E62" s="31">
        <f t="shared" si="4"/>
        <v>8526.7526197930983</v>
      </c>
      <c r="F62" s="31">
        <f t="shared" si="4"/>
        <v>9612.3087689999993</v>
      </c>
      <c r="G62" s="31">
        <f t="shared" si="4"/>
        <v>10658.924196</v>
      </c>
      <c r="H62" s="31">
        <f t="shared" si="4"/>
        <v>12184.730713999999</v>
      </c>
      <c r="I62" s="31">
        <f t="shared" si="4"/>
        <v>13578.927936</v>
      </c>
      <c r="J62" s="31">
        <f t="shared" si="4"/>
        <v>16180.305048</v>
      </c>
      <c r="K62" s="31">
        <f t="shared" si="4"/>
        <v>19339.329121999999</v>
      </c>
      <c r="L62" s="31">
        <f t="shared" si="4"/>
        <v>21052.333993</v>
      </c>
      <c r="M62" s="32">
        <f t="shared" si="4"/>
        <v>21301.863340999997</v>
      </c>
      <c r="N62" s="15">
        <f>(G62/B62)^(1/56)</f>
        <v>1.0107840116517195</v>
      </c>
      <c r="P62" s="15">
        <f>(K62/I62)^(1/20)</f>
        <v>1.0178383169555369</v>
      </c>
      <c r="Q62" s="15">
        <f>(M62/K62)^(1/11)</f>
        <v>1.0088254208453409</v>
      </c>
    </row>
    <row r="63" spans="1:17" ht="18" customHeight="1" x14ac:dyDescent="0.2">
      <c r="A63" s="38" t="s">
        <v>52</v>
      </c>
      <c r="B63" s="33">
        <f t="shared" ref="B63:M63" si="5">B62/B64</f>
        <v>0.29328595264656432</v>
      </c>
      <c r="C63" s="33">
        <f t="shared" si="5"/>
        <v>0.32744595744946925</v>
      </c>
      <c r="D63" s="33">
        <f t="shared" si="5"/>
        <v>0.38284728321697958</v>
      </c>
      <c r="E63" s="33">
        <f t="shared" si="5"/>
        <v>0.43209924462927263</v>
      </c>
      <c r="F63" s="33">
        <f t="shared" si="5"/>
        <v>0.47696797280793524</v>
      </c>
      <c r="G63" s="33">
        <f t="shared" si="5"/>
        <v>0.5136402606410696</v>
      </c>
      <c r="H63" s="33">
        <f t="shared" si="5"/>
        <v>0.55164294661216884</v>
      </c>
      <c r="I63" s="33">
        <f t="shared" si="5"/>
        <v>0.59860925458704528</v>
      </c>
      <c r="J63" s="33">
        <f t="shared" si="5"/>
        <v>0.68361398048618316</v>
      </c>
      <c r="K63" s="33">
        <f t="shared" si="5"/>
        <v>0.75336386446042647</v>
      </c>
      <c r="L63" s="33">
        <f t="shared" si="5"/>
        <v>0.77489555438726454</v>
      </c>
      <c r="M63" s="34">
        <f t="shared" si="5"/>
        <v>0.78717654054091446</v>
      </c>
    </row>
    <row r="64" spans="1:17" ht="18" customHeight="1" thickBot="1" x14ac:dyDescent="0.25">
      <c r="A64" s="39" t="s">
        <v>51</v>
      </c>
      <c r="B64" s="35">
        <f>'calcul intermédiaire2'!B64</f>
        <v>19932.131434159135</v>
      </c>
      <c r="C64" s="35">
        <f>'calcul intermédiaire2'!C64</f>
        <v>20492.881934864377</v>
      </c>
      <c r="D64" s="35">
        <f>'calcul intermédiaire2'!D64</f>
        <v>18963.56238748644</v>
      </c>
      <c r="E64" s="35">
        <f>'calcul intermédiaire2'!E64</f>
        <v>19733.319893</v>
      </c>
      <c r="F64" s="35">
        <f>'calcul intermédiaire2'!F64</f>
        <v>20152.943839000003</v>
      </c>
      <c r="G64" s="35">
        <f>'calcul intermédiaire2'!G64</f>
        <v>20751.730370000001</v>
      </c>
      <c r="H64" s="35">
        <f>'calcul intermédiaire2'!H64</f>
        <v>22088.074883999998</v>
      </c>
      <c r="I64" s="35">
        <f>'calcul intermédiaire2'!I64</f>
        <v>22684.126301</v>
      </c>
      <c r="J64" s="35">
        <f>'calcul intermédiaire2'!J64</f>
        <v>23668.774352</v>
      </c>
      <c r="K64" s="35">
        <f>'calcul intermédiaire2'!K64</f>
        <v>25670.635445</v>
      </c>
      <c r="L64" s="35">
        <f>'calcul intermédiaire2'!L64</f>
        <v>27167.963313</v>
      </c>
      <c r="M64" s="35">
        <f>'calcul intermédiaire2'!M64</f>
        <v>27061.100329999997</v>
      </c>
      <c r="N64" s="15">
        <f>(G64/B64)^(1/56)</f>
        <v>1.0007198403893935</v>
      </c>
      <c r="P64" s="15">
        <f>(J64/G64)^(1/18)</f>
        <v>1.007333817621574</v>
      </c>
      <c r="Q64" s="15">
        <f>(M64/K64)^(1/11)</f>
        <v>1.0048069287144186</v>
      </c>
    </row>
    <row r="66" spans="1:14" ht="12.75" thickBot="1" x14ac:dyDescent="0.25"/>
    <row r="67" spans="1:14" x14ac:dyDescent="0.2">
      <c r="B67" s="18">
        <v>1906</v>
      </c>
      <c r="C67" s="18">
        <v>1926</v>
      </c>
      <c r="D67" s="18">
        <v>1936</v>
      </c>
      <c r="E67" s="18">
        <v>1954</v>
      </c>
      <c r="F67" s="18">
        <v>1962</v>
      </c>
      <c r="G67" s="18">
        <v>1968</v>
      </c>
      <c r="H67" s="18">
        <v>1974</v>
      </c>
      <c r="I67" s="18">
        <v>1980</v>
      </c>
      <c r="J67" s="18">
        <v>1990</v>
      </c>
      <c r="K67" s="18">
        <v>2000</v>
      </c>
      <c r="L67" s="18">
        <v>2008</v>
      </c>
      <c r="M67" s="19">
        <v>2011</v>
      </c>
      <c r="N67" s="15">
        <v>2016</v>
      </c>
    </row>
    <row r="68" spans="1:14" x14ac:dyDescent="0.2">
      <c r="A68" s="38" t="s">
        <v>96</v>
      </c>
      <c r="B68" s="15">
        <f>100*B19/$B19</f>
        <v>100</v>
      </c>
      <c r="C68" s="15">
        <f t="shared" ref="C68:N68" si="6">100*C19/$B19</f>
        <v>141.94344648384649</v>
      </c>
      <c r="D68" s="15">
        <f t="shared" si="6"/>
        <v>155.90575288939306</v>
      </c>
      <c r="E68" s="15">
        <f t="shared" si="6"/>
        <v>205.4889967153365</v>
      </c>
      <c r="F68" s="15">
        <f t="shared" si="6"/>
        <v>236.66418043894629</v>
      </c>
      <c r="G68" s="15">
        <f t="shared" si="6"/>
        <v>299.60836090947271</v>
      </c>
      <c r="H68" s="15">
        <f t="shared" si="6"/>
        <v>379.32775928841767</v>
      </c>
      <c r="I68" s="15">
        <f t="shared" si="6"/>
        <v>467.59806520298145</v>
      </c>
      <c r="J68" s="15">
        <f t="shared" si="6"/>
        <v>665.75347108047833</v>
      </c>
      <c r="K68" s="15">
        <f t="shared" si="6"/>
        <v>937.83859835967837</v>
      </c>
      <c r="L68" s="15">
        <f t="shared" si="6"/>
        <v>1086.5293793957144</v>
      </c>
      <c r="M68" s="15">
        <f t="shared" si="6"/>
        <v>1105.5610867926989</v>
      </c>
      <c r="N68" s="15">
        <f t="shared" si="6"/>
        <v>1201.6103433125825</v>
      </c>
    </row>
    <row r="69" spans="1:14" x14ac:dyDescent="0.2">
      <c r="A69" s="15" t="s">
        <v>97</v>
      </c>
      <c r="B69" s="15">
        <f>100*B59/$B59</f>
        <v>100</v>
      </c>
      <c r="C69" s="15">
        <f t="shared" ref="C69:N69" si="7">100*C59/$B59</f>
        <v>150.40208094679414</v>
      </c>
      <c r="D69" s="15">
        <f t="shared" si="7"/>
        <v>136.65119534658751</v>
      </c>
      <c r="E69" s="15">
        <f t="shared" si="7"/>
        <v>128.03355239680272</v>
      </c>
      <c r="F69" s="15">
        <f t="shared" si="7"/>
        <v>140.73842028848546</v>
      </c>
      <c r="G69" s="15">
        <f t="shared" si="7"/>
        <v>156.49639596809195</v>
      </c>
      <c r="H69" s="15">
        <f t="shared" si="7"/>
        <v>170.35028291974598</v>
      </c>
      <c r="I69" s="15">
        <f t="shared" si="7"/>
        <v>182.31649570144717</v>
      </c>
      <c r="J69" s="15">
        <f t="shared" si="7"/>
        <v>196.30169911709794</v>
      </c>
      <c r="K69" s="15">
        <f t="shared" si="7"/>
        <v>217.03328587058022</v>
      </c>
      <c r="L69" s="15">
        <f t="shared" si="7"/>
        <v>230.83792914823547</v>
      </c>
      <c r="M69" s="15">
        <f t="shared" si="7"/>
        <v>226.1597801183523</v>
      </c>
      <c r="N69" s="15">
        <f t="shared" si="7"/>
        <v>228.01462517230598</v>
      </c>
    </row>
    <row r="70" spans="1:14" x14ac:dyDescent="0.2">
      <c r="A70" s="15" t="s">
        <v>98</v>
      </c>
      <c r="B70" s="15">
        <f>100*B51/$B51</f>
        <v>100</v>
      </c>
      <c r="C70" s="15">
        <f t="shared" ref="C70:N70" si="8">100*C51/$B51</f>
        <v>128.28358208955223</v>
      </c>
      <c r="D70" s="15">
        <f t="shared" si="8"/>
        <v>140.52238805970148</v>
      </c>
      <c r="E70" s="15">
        <f t="shared" si="8"/>
        <v>148.65671641791045</v>
      </c>
      <c r="F70" s="15">
        <f t="shared" si="8"/>
        <v>175.30312342850755</v>
      </c>
      <c r="G70" s="15">
        <f t="shared" si="8"/>
        <v>201.44285000654654</v>
      </c>
      <c r="H70" s="15">
        <f t="shared" si="8"/>
        <v>222.38287247341543</v>
      </c>
      <c r="I70" s="15">
        <f t="shared" si="8"/>
        <v>235.1412518899607</v>
      </c>
      <c r="J70" s="15">
        <f t="shared" si="8"/>
        <v>249.27016034539264</v>
      </c>
      <c r="K70" s="15">
        <f t="shared" si="8"/>
        <v>264.36259224634495</v>
      </c>
      <c r="L70" s="15">
        <f t="shared" si="8"/>
        <v>287.24627407745311</v>
      </c>
      <c r="M70" s="15">
        <f t="shared" si="8"/>
        <v>287.22966160425449</v>
      </c>
      <c r="N70" s="15">
        <f t="shared" si="8"/>
        <v>287.03031192587099</v>
      </c>
    </row>
    <row r="71" spans="1:14" x14ac:dyDescent="0.2">
      <c r="A71" s="15" t="s">
        <v>99</v>
      </c>
      <c r="B71" s="15">
        <f>100*(B30+B31)/($B30+$B31)</f>
        <v>100</v>
      </c>
      <c r="C71" s="15">
        <f t="shared" ref="C71:N71" si="9">100*(C30+C31)/($B30+$B31)</f>
        <v>145.20933678184088</v>
      </c>
      <c r="D71" s="15">
        <f t="shared" si="9"/>
        <v>184.04989494442847</v>
      </c>
      <c r="E71" s="15">
        <f t="shared" si="9"/>
        <v>261.38470989691933</v>
      </c>
      <c r="F71" s="15">
        <f t="shared" si="9"/>
        <v>301.38595708666065</v>
      </c>
      <c r="G71" s="15">
        <f t="shared" si="9"/>
        <v>336.85949955665609</v>
      </c>
      <c r="H71" s="15">
        <f t="shared" si="9"/>
        <v>383.95774544319204</v>
      </c>
      <c r="I71" s="15">
        <f t="shared" si="9"/>
        <v>435.89426567989034</v>
      </c>
      <c r="J71" s="15">
        <f t="shared" si="9"/>
        <v>541.86531892459629</v>
      </c>
      <c r="K71" s="15">
        <f t="shared" si="9"/>
        <v>681.51161797817542</v>
      </c>
      <c r="L71" s="15">
        <f t="shared" si="9"/>
        <v>789.70913375569933</v>
      </c>
      <c r="M71" s="15">
        <f t="shared" si="9"/>
        <v>834.38824246715421</v>
      </c>
      <c r="N71" s="15">
        <f t="shared" si="9"/>
        <v>875.47075785636446</v>
      </c>
    </row>
    <row r="72" spans="1:14" x14ac:dyDescent="0.2">
      <c r="A72" s="38" t="s">
        <v>100</v>
      </c>
      <c r="B72" s="15">
        <f>100*B32/$B32</f>
        <v>100</v>
      </c>
      <c r="C72" s="15">
        <f t="shared" ref="C72:N72" si="10">100*C32/$B32</f>
        <v>84.183232042336414</v>
      </c>
      <c r="D72" s="15">
        <f t="shared" si="10"/>
        <v>96.073519053965839</v>
      </c>
      <c r="E72" s="15">
        <f t="shared" si="10"/>
        <v>89.414958327453363</v>
      </c>
      <c r="F72" s="15">
        <f t="shared" si="10"/>
        <v>88.747196343587134</v>
      </c>
      <c r="G72" s="15">
        <f t="shared" si="10"/>
        <v>86.662476003712086</v>
      </c>
      <c r="H72" s="15">
        <f t="shared" si="10"/>
        <v>83.225944818449307</v>
      </c>
      <c r="I72" s="15">
        <f t="shared" si="10"/>
        <v>82.883920387688548</v>
      </c>
      <c r="J72" s="15">
        <f t="shared" si="10"/>
        <v>90.53875288566725</v>
      </c>
      <c r="K72" s="15">
        <f t="shared" si="10"/>
        <v>143.56882653123887</v>
      </c>
      <c r="L72" s="15">
        <f t="shared" si="10"/>
        <v>122.28187743579596</v>
      </c>
      <c r="M72" s="15">
        <f t="shared" si="10"/>
        <v>130.49046377405398</v>
      </c>
      <c r="N72" s="15">
        <f t="shared" si="10"/>
        <v>140.40917226611575</v>
      </c>
    </row>
    <row r="73" spans="1:14" x14ac:dyDescent="0.2">
      <c r="A73" s="38" t="s">
        <v>89</v>
      </c>
      <c r="B73" s="15">
        <f>100*B40/$B40</f>
        <v>100</v>
      </c>
      <c r="C73" s="15">
        <f t="shared" ref="C73:N73" si="11">100*C40/$B40</f>
        <v>62.994424760965622</v>
      </c>
      <c r="D73" s="15">
        <f t="shared" si="11"/>
        <v>52.692181600127967</v>
      </c>
      <c r="E73" s="15">
        <f t="shared" si="11"/>
        <v>40.959666856489456</v>
      </c>
      <c r="F73" s="15">
        <f t="shared" si="11"/>
        <v>37.652536350251765</v>
      </c>
      <c r="G73" s="15">
        <f t="shared" si="11"/>
        <v>35.707087755190315</v>
      </c>
      <c r="H73" s="15">
        <f t="shared" si="11"/>
        <v>30.681345551281577</v>
      </c>
      <c r="I73" s="15">
        <f t="shared" si="11"/>
        <v>23.66962457324761</v>
      </c>
      <c r="J73" s="15">
        <f t="shared" si="11"/>
        <v>27.155219972732702</v>
      </c>
      <c r="K73" s="15">
        <f t="shared" si="11"/>
        <v>53.74301743857248</v>
      </c>
      <c r="L73" s="15">
        <f t="shared" si="11"/>
        <v>74.899770909865723</v>
      </c>
      <c r="M73" s="15">
        <f t="shared" si="11"/>
        <v>73.886516433271225</v>
      </c>
      <c r="N73" s="15">
        <f t="shared" si="11"/>
        <v>61.686932535073389</v>
      </c>
    </row>
    <row r="75" spans="1:14" x14ac:dyDescent="0.2">
      <c r="B75" s="46">
        <v>1906</v>
      </c>
      <c r="C75" s="46">
        <v>1926</v>
      </c>
      <c r="D75" s="46">
        <v>1936</v>
      </c>
      <c r="E75" s="46">
        <v>1954</v>
      </c>
      <c r="F75" s="46">
        <v>1962</v>
      </c>
      <c r="G75" s="46">
        <v>1968</v>
      </c>
      <c r="H75" s="46">
        <v>1974</v>
      </c>
      <c r="I75" s="46">
        <v>1980</v>
      </c>
      <c r="J75" s="46">
        <v>1990</v>
      </c>
      <c r="K75" s="46">
        <v>2000</v>
      </c>
      <c r="L75" s="46">
        <v>2008</v>
      </c>
      <c r="M75" s="46">
        <v>2011</v>
      </c>
      <c r="N75" s="15">
        <v>2016</v>
      </c>
    </row>
    <row r="76" spans="1:14" x14ac:dyDescent="0.2">
      <c r="A76" s="15" t="s">
        <v>96</v>
      </c>
      <c r="B76" s="15">
        <f>B68</f>
        <v>100</v>
      </c>
      <c r="C76" s="15">
        <f t="shared" ref="C76:N76" si="12">C68</f>
        <v>141.94344648384649</v>
      </c>
      <c r="D76" s="15">
        <f t="shared" si="12"/>
        <v>155.90575288939306</v>
      </c>
      <c r="E76" s="15">
        <f t="shared" si="12"/>
        <v>205.4889967153365</v>
      </c>
      <c r="F76" s="15">
        <f t="shared" si="12"/>
        <v>236.66418043894629</v>
      </c>
      <c r="G76" s="15">
        <f t="shared" si="12"/>
        <v>299.60836090947271</v>
      </c>
      <c r="H76" s="15">
        <f t="shared" si="12"/>
        <v>379.32775928841767</v>
      </c>
      <c r="I76" s="15">
        <f t="shared" si="12"/>
        <v>467.59806520298145</v>
      </c>
      <c r="J76" s="15">
        <f t="shared" si="12"/>
        <v>665.75347108047833</v>
      </c>
      <c r="K76" s="15">
        <f t="shared" si="12"/>
        <v>937.83859835967837</v>
      </c>
      <c r="L76" s="15">
        <f t="shared" si="12"/>
        <v>1086.5293793957144</v>
      </c>
      <c r="M76" s="15">
        <f t="shared" si="12"/>
        <v>1105.5610867926989</v>
      </c>
      <c r="N76" s="15">
        <f t="shared" si="12"/>
        <v>1201.6103433125825</v>
      </c>
    </row>
    <row r="77" spans="1:14" x14ac:dyDescent="0.2">
      <c r="A77" s="15" t="s">
        <v>97</v>
      </c>
      <c r="B77" s="15">
        <f t="shared" ref="B77:N81" si="13">B69</f>
        <v>100</v>
      </c>
      <c r="C77" s="15">
        <f t="shared" si="13"/>
        <v>150.40208094679414</v>
      </c>
      <c r="D77" s="15">
        <f t="shared" si="13"/>
        <v>136.65119534658751</v>
      </c>
      <c r="E77" s="15">
        <f t="shared" si="13"/>
        <v>128.03355239680272</v>
      </c>
      <c r="F77" s="15">
        <f t="shared" si="13"/>
        <v>140.73842028848546</v>
      </c>
      <c r="G77" s="15">
        <f t="shared" si="13"/>
        <v>156.49639596809195</v>
      </c>
      <c r="H77" s="15">
        <f t="shared" si="13"/>
        <v>170.35028291974598</v>
      </c>
      <c r="I77" s="15">
        <f t="shared" si="13"/>
        <v>182.31649570144717</v>
      </c>
      <c r="J77" s="15">
        <f t="shared" si="13"/>
        <v>196.30169911709794</v>
      </c>
      <c r="K77" s="15">
        <f t="shared" si="13"/>
        <v>217.03328587058022</v>
      </c>
      <c r="L77" s="15">
        <f t="shared" si="13"/>
        <v>230.83792914823547</v>
      </c>
      <c r="M77" s="15">
        <f t="shared" si="13"/>
        <v>226.1597801183523</v>
      </c>
      <c r="N77" s="15">
        <f t="shared" si="13"/>
        <v>228.01462517230598</v>
      </c>
    </row>
    <row r="78" spans="1:14" x14ac:dyDescent="0.2">
      <c r="A78" s="15" t="s">
        <v>98</v>
      </c>
      <c r="B78" s="15">
        <f t="shared" si="13"/>
        <v>100</v>
      </c>
      <c r="C78" s="15">
        <f t="shared" si="13"/>
        <v>128.28358208955223</v>
      </c>
      <c r="D78" s="15">
        <f t="shared" si="13"/>
        <v>140.52238805970148</v>
      </c>
      <c r="E78" s="15">
        <f t="shared" si="13"/>
        <v>148.65671641791045</v>
      </c>
      <c r="F78" s="15">
        <f t="shared" si="13"/>
        <v>175.30312342850755</v>
      </c>
      <c r="G78" s="15">
        <f t="shared" si="13"/>
        <v>201.44285000654654</v>
      </c>
      <c r="H78" s="15">
        <f t="shared" si="13"/>
        <v>222.38287247341543</v>
      </c>
      <c r="I78" s="15">
        <f t="shared" si="13"/>
        <v>235.1412518899607</v>
      </c>
      <c r="J78" s="15">
        <f t="shared" si="13"/>
        <v>249.27016034539264</v>
      </c>
      <c r="K78" s="15">
        <f t="shared" si="13"/>
        <v>264.36259224634495</v>
      </c>
      <c r="L78" s="15">
        <f t="shared" si="13"/>
        <v>287.24627407745311</v>
      </c>
      <c r="M78" s="15">
        <f t="shared" si="13"/>
        <v>287.22966160425449</v>
      </c>
      <c r="N78" s="15">
        <f t="shared" si="13"/>
        <v>287.03031192587099</v>
      </c>
    </row>
    <row r="79" spans="1:14" x14ac:dyDescent="0.2">
      <c r="A79" s="15" t="s">
        <v>99</v>
      </c>
      <c r="B79" s="15">
        <f t="shared" si="13"/>
        <v>100</v>
      </c>
      <c r="C79" s="15">
        <f t="shared" si="13"/>
        <v>145.20933678184088</v>
      </c>
      <c r="D79" s="15">
        <f t="shared" si="13"/>
        <v>184.04989494442847</v>
      </c>
      <c r="E79" s="15">
        <f t="shared" si="13"/>
        <v>261.38470989691933</v>
      </c>
      <c r="F79" s="15">
        <f t="shared" si="13"/>
        <v>301.38595708666065</v>
      </c>
      <c r="G79" s="15">
        <f t="shared" si="13"/>
        <v>336.85949955665609</v>
      </c>
      <c r="H79" s="15">
        <f t="shared" si="13"/>
        <v>383.95774544319204</v>
      </c>
      <c r="I79" s="15">
        <f t="shared" si="13"/>
        <v>435.89426567989034</v>
      </c>
      <c r="J79" s="15">
        <f t="shared" si="13"/>
        <v>541.86531892459629</v>
      </c>
      <c r="K79" s="15">
        <f t="shared" si="13"/>
        <v>681.51161797817542</v>
      </c>
      <c r="L79" s="15">
        <f t="shared" si="13"/>
        <v>789.70913375569933</v>
      </c>
      <c r="M79" s="15">
        <f t="shared" si="13"/>
        <v>834.38824246715421</v>
      </c>
      <c r="N79" s="15">
        <f t="shared" si="13"/>
        <v>875.47075785636446</v>
      </c>
    </row>
    <row r="80" spans="1:14" x14ac:dyDescent="0.2">
      <c r="A80" s="15" t="s">
        <v>100</v>
      </c>
      <c r="B80" s="15">
        <f t="shared" si="13"/>
        <v>100</v>
      </c>
      <c r="C80" s="15">
        <f t="shared" si="13"/>
        <v>84.183232042336414</v>
      </c>
      <c r="D80" s="15">
        <f t="shared" si="13"/>
        <v>96.073519053965839</v>
      </c>
      <c r="E80" s="15">
        <f t="shared" si="13"/>
        <v>89.414958327453363</v>
      </c>
      <c r="F80" s="15">
        <f t="shared" si="13"/>
        <v>88.747196343587134</v>
      </c>
      <c r="G80" s="15">
        <f t="shared" si="13"/>
        <v>86.662476003712086</v>
      </c>
      <c r="H80" s="15">
        <f t="shared" si="13"/>
        <v>83.225944818449307</v>
      </c>
      <c r="I80" s="15">
        <f t="shared" si="13"/>
        <v>82.883920387688548</v>
      </c>
      <c r="J80" s="15">
        <f t="shared" si="13"/>
        <v>90.53875288566725</v>
      </c>
      <c r="K80" s="15">
        <f t="shared" si="13"/>
        <v>143.56882653123887</v>
      </c>
      <c r="L80" s="15">
        <f t="shared" si="13"/>
        <v>122.28187743579596</v>
      </c>
      <c r="M80" s="15">
        <f t="shared" si="13"/>
        <v>130.49046377405398</v>
      </c>
      <c r="N80" s="15">
        <f t="shared" si="13"/>
        <v>140.40917226611575</v>
      </c>
    </row>
    <row r="81" spans="1:14" x14ac:dyDescent="0.2">
      <c r="A81" s="15" t="s">
        <v>89</v>
      </c>
      <c r="B81" s="15">
        <f t="shared" si="13"/>
        <v>100</v>
      </c>
      <c r="C81" s="15">
        <f t="shared" si="13"/>
        <v>62.994424760965622</v>
      </c>
      <c r="D81" s="15">
        <f t="shared" si="13"/>
        <v>52.692181600127967</v>
      </c>
      <c r="E81" s="15">
        <f t="shared" si="13"/>
        <v>40.959666856489456</v>
      </c>
      <c r="F81" s="15">
        <f t="shared" si="13"/>
        <v>37.652536350251765</v>
      </c>
      <c r="G81" s="15">
        <f t="shared" si="13"/>
        <v>35.707087755190315</v>
      </c>
      <c r="H81" s="15">
        <f t="shared" si="13"/>
        <v>30.681345551281577</v>
      </c>
      <c r="I81" s="15">
        <f t="shared" si="13"/>
        <v>23.66962457324761</v>
      </c>
      <c r="J81" s="15">
        <f t="shared" si="13"/>
        <v>27.155219972732702</v>
      </c>
      <c r="K81" s="15">
        <f t="shared" si="13"/>
        <v>53.74301743857248</v>
      </c>
      <c r="L81" s="15">
        <f t="shared" si="13"/>
        <v>74.899770909865723</v>
      </c>
      <c r="M81" s="15">
        <f t="shared" si="13"/>
        <v>73.886516433271225</v>
      </c>
      <c r="N81" s="15">
        <f t="shared" si="13"/>
        <v>61.686932535073389</v>
      </c>
    </row>
    <row r="172" spans="1:1" x14ac:dyDescent="0.2">
      <c r="A172" s="16"/>
    </row>
    <row r="198" spans="1:1" x14ac:dyDescent="0.2">
      <c r="A198" s="16"/>
    </row>
    <row r="199" spans="1:1" x14ac:dyDescent="0.2">
      <c r="A199" s="16"/>
    </row>
    <row r="225" spans="1:1" x14ac:dyDescent="0.2">
      <c r="A225" s="16"/>
    </row>
    <row r="253" spans="1:1" x14ac:dyDescent="0.2">
      <c r="A253" s="16"/>
    </row>
    <row r="254" spans="1:1" x14ac:dyDescent="0.2">
      <c r="A254" s="16"/>
    </row>
    <row r="272" spans="1:1" x14ac:dyDescent="0.2">
      <c r="A272" s="16"/>
    </row>
    <row r="280" spans="1:1" x14ac:dyDescent="0.2">
      <c r="A280" s="16"/>
    </row>
    <row r="281" spans="1:1" x14ac:dyDescent="0.2">
      <c r="A281" s="16"/>
    </row>
    <row r="300" spans="1:1" x14ac:dyDescent="0.2">
      <c r="A300" s="16"/>
    </row>
    <row r="308" spans="1:1" x14ac:dyDescent="0.2">
      <c r="A308" s="16"/>
    </row>
    <row r="309" spans="1:1" x14ac:dyDescent="0.2">
      <c r="A309" s="16"/>
    </row>
    <row r="310" spans="1:1" x14ac:dyDescent="0.2">
      <c r="A310" s="15" t="s">
        <v>25</v>
      </c>
    </row>
    <row r="311" spans="1:1" x14ac:dyDescent="0.2">
      <c r="A311" s="15" t="s">
        <v>26</v>
      </c>
    </row>
  </sheetData>
  <phoneticPr fontId="0" type="noConversion"/>
  <pageMargins left="0.78740157499999996" right="0.78740157499999996" top="0.984251969" bottom="0.984251969" header="0.4921259845" footer="0.4921259845"/>
  <pageSetup paperSize="9" orientation="portrait"/>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Q311"/>
  <sheetViews>
    <sheetView workbookViewId="0">
      <pane xSplit="1" ySplit="5" topLeftCell="B55" activePane="bottomRight" state="frozen"/>
      <selection pane="topRight" activeCell="B1" sqref="B1"/>
      <selection pane="bottomLeft" activeCell="A4" sqref="A4"/>
      <selection pane="bottomRight" activeCell="O62" sqref="O62:O64"/>
    </sheetView>
  </sheetViews>
  <sheetFormatPr baseColWidth="10" defaultColWidth="11.42578125" defaultRowHeight="12" x14ac:dyDescent="0.2"/>
  <cols>
    <col min="1" max="1" width="40.42578125" style="15" customWidth="1"/>
    <col min="2" max="13" width="8.7109375" style="15" customWidth="1"/>
    <col min="14" max="14" width="9.140625" style="15" customWidth="1"/>
    <col min="15" max="16384" width="11.42578125" style="15"/>
  </cols>
  <sheetData>
    <row r="3" spans="1:14" x14ac:dyDescent="0.2">
      <c r="A3" s="15" t="s">
        <v>0</v>
      </c>
    </row>
    <row r="4" spans="1:14" ht="12.75" thickBot="1" x14ac:dyDescent="0.25">
      <c r="A4" s="15" t="s">
        <v>88</v>
      </c>
    </row>
    <row r="5" spans="1:14" ht="18" customHeight="1" x14ac:dyDescent="0.2">
      <c r="A5" s="37"/>
      <c r="B5" s="18">
        <v>1906</v>
      </c>
      <c r="C5" s="18">
        <v>1926</v>
      </c>
      <c r="D5" s="18">
        <v>1936</v>
      </c>
      <c r="E5" s="18">
        <v>1954</v>
      </c>
      <c r="F5" s="18">
        <v>1962</v>
      </c>
      <c r="G5" s="18">
        <v>1968</v>
      </c>
      <c r="H5" s="18">
        <v>1974</v>
      </c>
      <c r="I5" s="18">
        <v>1980</v>
      </c>
      <c r="J5" s="18">
        <v>1990</v>
      </c>
      <c r="K5" s="18">
        <v>2000</v>
      </c>
      <c r="L5" s="18">
        <v>2008</v>
      </c>
      <c r="M5" s="19">
        <v>2011</v>
      </c>
      <c r="N5" s="15">
        <v>2016</v>
      </c>
    </row>
    <row r="6" spans="1:14" ht="18" customHeight="1" thickBot="1" x14ac:dyDescent="0.25">
      <c r="A6" s="39"/>
      <c r="B6" s="40"/>
      <c r="C6" s="40"/>
      <c r="D6" s="40"/>
      <c r="E6" s="40"/>
      <c r="F6" s="40"/>
      <c r="G6" s="40"/>
      <c r="H6" s="40"/>
      <c r="I6" s="40"/>
      <c r="J6" s="40"/>
      <c r="K6" s="40"/>
      <c r="L6" s="40"/>
      <c r="M6" s="41"/>
    </row>
    <row r="7" spans="1:14" ht="18" customHeight="1" x14ac:dyDescent="0.2">
      <c r="A7" s="38" t="s">
        <v>2</v>
      </c>
      <c r="B7" s="20"/>
      <c r="C7" s="20"/>
      <c r="D7" s="20"/>
      <c r="E7" s="20"/>
      <c r="F7" s="20"/>
      <c r="G7" s="20"/>
      <c r="H7" s="20"/>
      <c r="I7" s="20"/>
      <c r="J7" s="20"/>
      <c r="K7" s="20"/>
      <c r="L7" s="20"/>
      <c r="M7" s="21"/>
    </row>
    <row r="8" spans="1:14" ht="18" customHeight="1" x14ac:dyDescent="0.2">
      <c r="A8" s="38"/>
      <c r="B8" s="20"/>
      <c r="C8" s="20"/>
      <c r="D8" s="20"/>
      <c r="E8" s="20"/>
      <c r="F8" s="20"/>
      <c r="G8" s="20"/>
      <c r="H8" s="20"/>
      <c r="I8" s="20"/>
      <c r="J8" s="20"/>
      <c r="K8" s="20"/>
      <c r="L8" s="20"/>
      <c r="M8" s="21"/>
    </row>
    <row r="9" spans="1:14" ht="18" customHeight="1" x14ac:dyDescent="0.2">
      <c r="A9" s="38" t="s">
        <v>80</v>
      </c>
      <c r="B9" s="22">
        <f>'calcul intermédiaire1 grahique'!B9</f>
        <v>32.330991071428571</v>
      </c>
      <c r="C9" s="22">
        <f>'calcul intermédiaire1 grahique'!C9</f>
        <v>90.526775000000001</v>
      </c>
      <c r="D9" s="22">
        <f>'calcul intermédiaire1 grahique'!D9</f>
        <v>90.526775000000001</v>
      </c>
      <c r="E9" s="22">
        <f>'[1]49-2011 (2)'!$H$12/1000</f>
        <v>90.526775000000001</v>
      </c>
      <c r="F9" s="22">
        <f>'[1]49-2011 (2)'!$P$12/1000</f>
        <v>107.238</v>
      </c>
      <c r="G9" s="22">
        <f>'[1]49-2011 (2)'!$V$12/1000</f>
        <v>150.91540799999999</v>
      </c>
      <c r="H9" s="22">
        <f>'[1]49-2011 (2)'!$AB$12/1000</f>
        <v>203.35910699999999</v>
      </c>
      <c r="I9" s="22">
        <f>'[1]49-2011 (2)'!$AH$12/1000</f>
        <v>248.46679800000001</v>
      </c>
      <c r="J9" s="22">
        <f>'[1]49-2011 (2)'!$AR$12/1000</f>
        <v>318.119508</v>
      </c>
      <c r="K9" s="22">
        <f>'[1]49-2011 (2)'!$BB$12/1000</f>
        <v>353.68250599999999</v>
      </c>
      <c r="L9" s="22">
        <f>'[1]49-2011 (2)'!$BJ$12/1000</f>
        <v>381.37691100000001</v>
      </c>
      <c r="M9" s="23">
        <f>'[1]49-2011 (2)'!$BM$12/1000</f>
        <v>359.60443300000003</v>
      </c>
    </row>
    <row r="10" spans="1:14" ht="18" customHeight="1" x14ac:dyDescent="0.2">
      <c r="A10" s="38"/>
      <c r="B10" s="20"/>
      <c r="C10" s="20"/>
      <c r="D10" s="20"/>
      <c r="E10" s="20"/>
      <c r="F10" s="20"/>
      <c r="G10" s="20"/>
      <c r="H10" s="20"/>
      <c r="I10" s="20"/>
      <c r="J10" s="20"/>
      <c r="K10" s="20"/>
      <c r="L10" s="20"/>
      <c r="M10" s="21"/>
    </row>
    <row r="11" spans="1:14" ht="18" customHeight="1" x14ac:dyDescent="0.2">
      <c r="A11" s="38" t="s">
        <v>3</v>
      </c>
      <c r="B11" s="20"/>
      <c r="C11" s="20"/>
      <c r="D11" s="20"/>
      <c r="E11" s="20"/>
      <c r="F11" s="20"/>
      <c r="G11" s="20"/>
      <c r="H11" s="20"/>
      <c r="I11" s="20"/>
      <c r="J11" s="20"/>
      <c r="K11" s="20"/>
      <c r="L11" s="20"/>
      <c r="M11" s="21"/>
    </row>
    <row r="12" spans="1:14" ht="18" customHeight="1" x14ac:dyDescent="0.2">
      <c r="A12" s="38" t="s">
        <v>4</v>
      </c>
      <c r="B12" s="22"/>
      <c r="C12" s="22"/>
      <c r="D12" s="22"/>
      <c r="E12" s="22"/>
      <c r="F12" s="22"/>
      <c r="G12" s="22"/>
      <c r="H12" s="22"/>
      <c r="I12" s="22"/>
      <c r="J12" s="20"/>
      <c r="K12" s="20"/>
      <c r="L12" s="20"/>
      <c r="M12" s="21"/>
    </row>
    <row r="13" spans="1:14" ht="18" customHeight="1" x14ac:dyDescent="0.2">
      <c r="A13" s="38" t="s">
        <v>79</v>
      </c>
      <c r="B13" s="22">
        <f>'calcul intermédiaire1 grahique'!B13</f>
        <v>21.865933766638761</v>
      </c>
      <c r="C13" s="22">
        <f>'calcul intermédiaire1 grahique'!C13</f>
        <v>33.709981223568093</v>
      </c>
      <c r="D13" s="22">
        <f>'calcul intermédiaire1 grahique'!D13</f>
        <v>34.621061797178044</v>
      </c>
      <c r="E13" s="22">
        <f>'calcul intermédiaire1 grahique'!E13</f>
        <v>53.753753842986967</v>
      </c>
      <c r="F13" s="22">
        <f>'calcul intermédiaire1 grahique'!F13</f>
        <v>70.608201173587858</v>
      </c>
      <c r="G13" s="22">
        <f>'calcul intermédiaire1 grahique'!G13</f>
        <v>99.083403862792053</v>
      </c>
      <c r="H13" s="22">
        <f>'calcul intermédiaire1 grahique'!H13</f>
        <v>141.51256684046695</v>
      </c>
      <c r="I13" s="22">
        <f>'calcul intermédiaire1 grahique'!I13</f>
        <v>217</v>
      </c>
      <c r="J13" s="22">
        <f>'calcul intermédiaire1 grahique'!J13</f>
        <v>253.87911099999999</v>
      </c>
      <c r="K13" s="22">
        <f>'calcul intermédiaire1 grahique'!K13</f>
        <v>261.18169499999999</v>
      </c>
      <c r="L13" s="22">
        <f>'calcul intermédiaire1 grahique'!L13</f>
        <v>354.989754</v>
      </c>
      <c r="M13" s="22">
        <f>'calcul intermédiaire1 grahique'!M13</f>
        <v>367.07970599999999</v>
      </c>
    </row>
    <row r="14" spans="1:14" ht="18" customHeight="1" x14ac:dyDescent="0.2">
      <c r="A14" s="38" t="s">
        <v>83</v>
      </c>
      <c r="B14" s="22">
        <f>'calcul intermédiaire1 grahique'!B14</f>
        <v>37.65643587167596</v>
      </c>
      <c r="C14" s="22">
        <f>'calcul intermédiaire1 grahique'!C14</f>
        <v>52.960655798132493</v>
      </c>
      <c r="D14" s="22">
        <f>'calcul intermédiaire1 grahique'!D14</f>
        <v>56.786710779746628</v>
      </c>
      <c r="E14" s="22">
        <f>'calcul intermédiaire1 grahique'!E14</f>
        <v>70.077217557985193</v>
      </c>
      <c r="F14" s="22">
        <f>'calcul intermédiaire1 grahique'!F14</f>
        <v>81.50703846846784</v>
      </c>
      <c r="G14" s="22">
        <f>'calcul intermédiaire1 grahique'!G14</f>
        <v>111.16362072946743</v>
      </c>
      <c r="H14" s="22">
        <f>'calcul intermédiaire1 grahique'!H14</f>
        <v>144.01223214327518</v>
      </c>
      <c r="I14" s="22">
        <f>'calcul intermédiaire1 grahique'!I14</f>
        <v>177.64921446507682</v>
      </c>
      <c r="J14" s="22">
        <f>'calcul intermédiaire1 grahique'!J14</f>
        <v>318.119508</v>
      </c>
      <c r="K14" s="22">
        <f>'calcul intermédiaire1 grahique'!K14</f>
        <v>353.68250599999999</v>
      </c>
      <c r="L14" s="22">
        <f>'calcul intermédiaire1 grahique'!L14</f>
        <v>381.37691100000001</v>
      </c>
      <c r="M14" s="22">
        <f>'calcul intermédiaire1 grahique'!M14</f>
        <v>359.60443300000003</v>
      </c>
    </row>
    <row r="15" spans="1:14" ht="18" customHeight="1" x14ac:dyDescent="0.2">
      <c r="A15" s="38" t="s">
        <v>78</v>
      </c>
      <c r="B15" s="22">
        <f>'calcul intermédiaire1 grahique'!B15</f>
        <v>42</v>
      </c>
      <c r="C15" s="22">
        <f>'calcul intermédiaire1 grahique'!C15</f>
        <v>56</v>
      </c>
      <c r="D15" s="22">
        <f>'calcul intermédiaire1 grahique'!D15</f>
        <v>80</v>
      </c>
      <c r="E15" s="22">
        <f>'calcul intermédiaire1 grahique'!E15</f>
        <v>87</v>
      </c>
      <c r="F15" s="22">
        <f>'calcul intermédiaire1 grahique'!F15</f>
        <v>95</v>
      </c>
      <c r="G15" s="22">
        <f>'calcul intermédiaire1 grahique'!G15</f>
        <v>128</v>
      </c>
      <c r="H15" s="22">
        <f>'calcul intermédiaire1 grahique'!H15</f>
        <v>154.45203599999999</v>
      </c>
      <c r="I15" s="22">
        <f>'calcul intermédiaire1 grahique'!I15</f>
        <v>149</v>
      </c>
      <c r="J15" s="22">
        <f>'calcul intermédiaire1 grahique'!J15</f>
        <v>237.85147800000001</v>
      </c>
      <c r="K15" s="22">
        <f>'calcul intermédiaire1 grahique'!K15</f>
        <v>275.841522</v>
      </c>
      <c r="L15" s="22">
        <f>'calcul intermédiaire1 grahique'!L15</f>
        <v>320.01201700000001</v>
      </c>
      <c r="M15" s="22">
        <f>'calcul intermédiaire1 grahique'!M15</f>
        <v>326.49287500000003</v>
      </c>
    </row>
    <row r="16" spans="1:14" ht="18" customHeight="1" x14ac:dyDescent="0.2">
      <c r="A16" s="38" t="s">
        <v>85</v>
      </c>
      <c r="B16" s="22">
        <f>'calcul intermédiaire1 grahique'!B16</f>
        <v>31.789247593220328</v>
      </c>
      <c r="C16" s="22">
        <f>'calcul intermédiaire1 grahique'!C16</f>
        <v>49.008423372881346</v>
      </c>
      <c r="D16" s="22">
        <f>'calcul intermédiaire1 grahique'!D16</f>
        <v>50.332975355932199</v>
      </c>
      <c r="E16" s="22">
        <f>'calcul intermédiaire1 grahique'!E16</f>
        <v>78.148567</v>
      </c>
      <c r="F16" s="22">
        <f>'calcul intermédiaire1 grahique'!F16</f>
        <v>85.489419999999996</v>
      </c>
      <c r="G16" s="22">
        <f>'calcul intermédiaire1 grahique'!G16</f>
        <v>105.089561</v>
      </c>
      <c r="H16" s="22">
        <f>'calcul intermédiaire1 grahique'!H16</f>
        <v>131.624606</v>
      </c>
      <c r="I16" s="22">
        <f>'calcul intermédiaire1 grahique'!I16</f>
        <v>162.64141100000001</v>
      </c>
      <c r="J16" s="22">
        <f>'calcul intermédiaire1 grahique'!J16</f>
        <v>232.24184599999998</v>
      </c>
      <c r="K16" s="22">
        <f>'calcul intermédiaire1 grahique'!K16</f>
        <v>269.42673400000001</v>
      </c>
      <c r="L16" s="22">
        <f>'calcul intermédiaire1 grahique'!L16</f>
        <v>273.93736700000005</v>
      </c>
      <c r="M16" s="22">
        <f>'calcul intermédiaire1 grahique'!M16</f>
        <v>261.489215</v>
      </c>
    </row>
    <row r="17" spans="1:14" ht="18" customHeight="1" x14ac:dyDescent="0.2">
      <c r="A17" s="38" t="s">
        <v>81</v>
      </c>
      <c r="B17" s="22">
        <f>'calcul intermédiaire1 grahique'!B17</f>
        <v>60.611610711864401</v>
      </c>
      <c r="C17" s="22">
        <f>'calcul intermédiaire1 grahique'!C17</f>
        <v>93.442899847457625</v>
      </c>
      <c r="D17" s="22">
        <f>'calcul intermédiaire1 grahique'!D17</f>
        <v>95.968383627118641</v>
      </c>
      <c r="E17" s="22">
        <f>'calcul intermédiaire1 grahique'!E17</f>
        <v>149.00354300000001</v>
      </c>
      <c r="F17" s="22">
        <f>'calcul intermédiaire1 grahique'!F17</f>
        <v>167.09562299999999</v>
      </c>
      <c r="G17" s="22">
        <f>'calcul intermédiaire1 grahique'!G17</f>
        <v>182.19765200000001</v>
      </c>
      <c r="H17" s="22">
        <f>'calcul intermédiaire1 grahique'!H17</f>
        <v>214.61189000000002</v>
      </c>
      <c r="I17" s="22">
        <f>'calcul intermédiaire1 grahique'!I17</f>
        <v>264.54257299999995</v>
      </c>
      <c r="J17" s="22">
        <f>'calcul intermédiaire1 grahique'!J17</f>
        <v>354.35597799999999</v>
      </c>
      <c r="K17" s="22">
        <f>'calcul intermédiaire1 grahique'!K17</f>
        <v>381.55860600000005</v>
      </c>
      <c r="L17" s="22">
        <f>'calcul intermédiaire1 grahique'!L17</f>
        <v>421.10679999999996</v>
      </c>
      <c r="M17" s="22">
        <f>'calcul intermédiaire1 grahique'!M17</f>
        <v>442.942837</v>
      </c>
    </row>
    <row r="18" spans="1:14" ht="18" customHeight="1" x14ac:dyDescent="0.2">
      <c r="A18" s="38" t="s">
        <v>82</v>
      </c>
      <c r="B18" s="22">
        <f>'calcul intermédiaire1 grahique'!B18</f>
        <v>169.92489834770114</v>
      </c>
      <c r="C18" s="22">
        <f>'calcul intermédiaire1 grahique'!C18</f>
        <v>238.98528484195401</v>
      </c>
      <c r="D18" s="22">
        <f>'calcul intermédiaire1 grahique'!D18</f>
        <v>256.25038146551725</v>
      </c>
      <c r="E18" s="22">
        <f>'calcul intermédiaire1 grahique'!E18</f>
        <v>316.22387500000002</v>
      </c>
      <c r="F18" s="22">
        <f>'calcul intermédiaire1 grahique'!F18</f>
        <v>370.97709600000002</v>
      </c>
      <c r="G18" s="22">
        <f>'calcul intermédiaire1 grahique'!G18</f>
        <v>478.56897600000002</v>
      </c>
      <c r="H18" s="22">
        <f>'calcul intermédiaire1 grahique'!H18</f>
        <v>613.97867500000007</v>
      </c>
      <c r="I18" s="22">
        <f>'calcul intermédiaire1 grahique'!I18</f>
        <v>766.60226699999998</v>
      </c>
      <c r="J18" s="22">
        <f>'calcul intermédiaire1 grahique'!J18</f>
        <v>1078.6162979999999</v>
      </c>
      <c r="K18" s="22">
        <f>'calcul intermédiaire1 grahique'!K18</f>
        <v>1783.2189519999999</v>
      </c>
      <c r="L18" s="22">
        <f>'calcul intermédiaire1 grahique'!L18</f>
        <v>2043.489026</v>
      </c>
      <c r="M18" s="22">
        <f>'calcul intermédiaire1 grahique'!M18</f>
        <v>2031.2657790000001</v>
      </c>
    </row>
    <row r="19" spans="1:14" ht="18" customHeight="1" x14ac:dyDescent="0.2">
      <c r="A19" s="38" t="s">
        <v>94</v>
      </c>
      <c r="B19" s="22">
        <f>'calcul intermédiaire1 grahique'!B19</f>
        <v>336.80635511533728</v>
      </c>
      <c r="C19" s="22">
        <f>'calcul intermédiaire1 grahique'!C19</f>
        <v>478.07454842733273</v>
      </c>
      <c r="D19" s="22">
        <f>'calcul intermédiaire1 grahique'!D19</f>
        <v>525.10048372188942</v>
      </c>
      <c r="E19" s="22">
        <f>'calcul intermédiaire1 grahique'!E19</f>
        <v>692.1</v>
      </c>
      <c r="F19" s="22">
        <f>'calcul intermédiaire1 grahique'!F19</f>
        <v>797.1</v>
      </c>
      <c r="G19" s="22">
        <f>'calcul intermédiaire1 grahique'!G19</f>
        <v>1009.1</v>
      </c>
      <c r="H19" s="22">
        <f>'calcul intermédiaire1 grahique'!H19</f>
        <v>1277.5999999999999</v>
      </c>
      <c r="I19" s="22">
        <f>'calcul intermédiaire1 grahique'!I19</f>
        <v>1574.9</v>
      </c>
      <c r="J19" s="22">
        <f>'calcul intermédiaire1 grahique'!J19</f>
        <v>2242.3000000000002</v>
      </c>
      <c r="K19" s="22">
        <f>'calcul intermédiaire1 grahique'!K19</f>
        <v>3158.7</v>
      </c>
      <c r="L19" s="22">
        <f>'calcul intermédiaire1 grahique'!L19</f>
        <v>3659.5</v>
      </c>
      <c r="M19" s="22">
        <f>'calcul intermédiaire1 grahique'!M19</f>
        <v>3723.6</v>
      </c>
      <c r="N19" s="22">
        <f>'calcul intermédiaire1 grahique'!N19</f>
        <v>4047.1</v>
      </c>
    </row>
    <row r="20" spans="1:14" ht="18" customHeight="1" x14ac:dyDescent="0.2">
      <c r="A20" s="38"/>
      <c r="B20" s="22"/>
      <c r="C20" s="22"/>
      <c r="D20" s="22"/>
      <c r="E20" s="22"/>
      <c r="F20" s="22"/>
      <c r="G20" s="22"/>
      <c r="H20" s="22"/>
      <c r="I20" s="22"/>
      <c r="J20" s="20"/>
      <c r="K20" s="20"/>
      <c r="L20" s="20"/>
      <c r="M20" s="21"/>
    </row>
    <row r="21" spans="1:14" ht="18" customHeight="1" x14ac:dyDescent="0.2">
      <c r="A21" s="38" t="s">
        <v>66</v>
      </c>
      <c r="B21" s="24"/>
      <c r="C21" s="24"/>
      <c r="D21" s="24"/>
      <c r="E21" s="22">
        <f>'calcul intermédiaire1 grahique'!E21</f>
        <v>71.401776999999996</v>
      </c>
      <c r="F21" s="22">
        <f>'calcul intermédiaire1 grahique'!F21</f>
        <v>89.447642999999999</v>
      </c>
      <c r="G21" s="22">
        <f>'calcul intermédiaire1 grahique'!G21</f>
        <v>101.75206900000001</v>
      </c>
      <c r="H21" s="22">
        <f>'calcul intermédiaire1 grahique'!H21</f>
        <v>121.253765</v>
      </c>
      <c r="I21" s="22">
        <f>'calcul intermédiaire1 grahique'!I21</f>
        <v>132.647671</v>
      </c>
      <c r="J21" s="22">
        <f>'calcul intermédiaire1 grahique'!J21</f>
        <v>169.35857999999999</v>
      </c>
      <c r="K21" s="22">
        <f>'calcul intermédiaire1 grahique'!K21</f>
        <v>205.68831599999999</v>
      </c>
      <c r="L21" s="22">
        <f>'calcul intermédiaire1 grahique'!L21</f>
        <v>217.00273199999998</v>
      </c>
      <c r="M21" s="22">
        <f>'calcul intermédiaire1 grahique'!M21</f>
        <v>212.07081500000001</v>
      </c>
    </row>
    <row r="22" spans="1:14" ht="18" customHeight="1" x14ac:dyDescent="0.2">
      <c r="A22" s="38" t="s">
        <v>67</v>
      </c>
      <c r="B22" s="24"/>
      <c r="C22" s="24"/>
      <c r="D22" s="24"/>
      <c r="E22" s="22">
        <f>'calcul intermédiaire1 grahique'!E22</f>
        <v>75.016960999999995</v>
      </c>
      <c r="F22" s="22">
        <f>'calcul intermédiaire1 grahique'!F22</f>
        <v>94.776857000000007</v>
      </c>
      <c r="G22" s="22">
        <f>'calcul intermédiaire1 grahique'!G22</f>
        <v>113.63957600000001</v>
      </c>
      <c r="H22" s="22">
        <f>'calcul intermédiaire1 grahique'!H22</f>
        <v>129.734037</v>
      </c>
      <c r="I22" s="22">
        <f>'calcul intermédiaire1 grahique'!I22</f>
        <v>150.48340400000001</v>
      </c>
      <c r="J22" s="22">
        <f>'calcul intermédiaire1 grahique'!J22</f>
        <v>157.60992800000002</v>
      </c>
      <c r="K22" s="22">
        <f>'calcul intermédiaire1 grahique'!K22</f>
        <v>165.56948800000001</v>
      </c>
      <c r="L22" s="22">
        <f>'calcul intermédiaire1 grahique'!L22</f>
        <v>147.502443</v>
      </c>
      <c r="M22" s="22">
        <f>'calcul intermédiaire1 grahique'!M22</f>
        <v>136.29856799999999</v>
      </c>
    </row>
    <row r="23" spans="1:14" ht="18" customHeight="1" x14ac:dyDescent="0.2">
      <c r="A23" s="38" t="s">
        <v>68</v>
      </c>
      <c r="B23" s="24"/>
      <c r="C23" s="24"/>
      <c r="D23" s="24"/>
      <c r="E23" s="22">
        <f>'calcul intermédiaire1 grahique'!E23</f>
        <v>55.148949000000002</v>
      </c>
      <c r="F23" s="22">
        <f>'calcul intermédiaire1 grahique'!F23</f>
        <v>65.854563999999996</v>
      </c>
      <c r="G23" s="22">
        <f>'calcul intermédiaire1 grahique'!G23</f>
        <v>87.448064000000002</v>
      </c>
      <c r="H23" s="22">
        <f>'calcul intermédiaire1 grahique'!H23</f>
        <v>114.51815300000001</v>
      </c>
      <c r="I23" s="22">
        <f>'calcul intermédiaire1 grahique'!I23</f>
        <v>142.76954199999997</v>
      </c>
      <c r="J23" s="22">
        <f>'calcul intermédiaire1 grahique'!J23</f>
        <v>219.20100299999999</v>
      </c>
      <c r="K23" s="22">
        <f>'calcul intermédiaire1 grahique'!K23</f>
        <v>365.908523</v>
      </c>
      <c r="L23" s="22">
        <f>'calcul intermédiaire1 grahique'!L23</f>
        <v>435.43965600000001</v>
      </c>
      <c r="M23" s="22">
        <f>'calcul intermédiaire1 grahique'!M23</f>
        <v>442.56049300000001</v>
      </c>
    </row>
    <row r="24" spans="1:14" ht="18" customHeight="1" x14ac:dyDescent="0.2">
      <c r="A24" s="42" t="s">
        <v>69</v>
      </c>
      <c r="B24" s="43">
        <v>100</v>
      </c>
      <c r="C24" s="43">
        <v>148</v>
      </c>
      <c r="D24" s="43">
        <v>161</v>
      </c>
      <c r="E24" s="43">
        <f t="shared" ref="E24:M24" si="0">SUM(E21:E23)</f>
        <v>201.56768699999998</v>
      </c>
      <c r="F24" s="43">
        <f t="shared" si="0"/>
        <v>250.07906400000002</v>
      </c>
      <c r="G24" s="43">
        <f t="shared" si="0"/>
        <v>302.83970900000003</v>
      </c>
      <c r="H24" s="43">
        <f t="shared" si="0"/>
        <v>365.50595499999997</v>
      </c>
      <c r="I24" s="43">
        <f t="shared" si="0"/>
        <v>425.90061700000001</v>
      </c>
      <c r="J24" s="43">
        <f t="shared" si="0"/>
        <v>546.16951100000006</v>
      </c>
      <c r="K24" s="43">
        <f t="shared" si="0"/>
        <v>737.16632699999991</v>
      </c>
      <c r="L24" s="43">
        <f t="shared" si="0"/>
        <v>799.94483100000002</v>
      </c>
      <c r="M24" s="44">
        <f t="shared" si="0"/>
        <v>790.92987599999992</v>
      </c>
    </row>
    <row r="25" spans="1:14" ht="18" customHeight="1" x14ac:dyDescent="0.2">
      <c r="A25" s="38"/>
      <c r="B25" s="22"/>
      <c r="C25" s="22"/>
      <c r="D25" s="22"/>
      <c r="E25" s="22"/>
      <c r="F25" s="22"/>
      <c r="G25" s="22"/>
      <c r="H25" s="22"/>
      <c r="I25" s="22"/>
      <c r="J25" s="20"/>
      <c r="K25" s="20"/>
      <c r="L25" s="20"/>
      <c r="M25" s="21"/>
    </row>
    <row r="26" spans="1:14" ht="18" customHeight="1" x14ac:dyDescent="0.2">
      <c r="A26" s="38" t="s">
        <v>16</v>
      </c>
      <c r="B26" s="22">
        <f>'calcul intermédiaire1 grahique'!B26</f>
        <v>543.86114199600786</v>
      </c>
      <c r="C26" s="22">
        <f>'calcul intermédiaire1 grahique'!C26</f>
        <v>507.26487823552884</v>
      </c>
      <c r="D26" s="22">
        <f>'calcul intermédiaire1 grahique'!D26</f>
        <v>558.09302234730535</v>
      </c>
      <c r="E26" s="22">
        <f>'calcul intermédiaire1 grahique'!E26</f>
        <v>509.29800399999999</v>
      </c>
      <c r="F26" s="22">
        <f>'calcul intermédiaire1 grahique'!F26</f>
        <v>542.42024600000002</v>
      </c>
      <c r="G26" s="22">
        <f>'calcul intermédiaire1 grahique'!G26</f>
        <v>561.495901</v>
      </c>
      <c r="H26" s="22">
        <f>'calcul intermédiaire1 grahique'!H26</f>
        <v>606.61013500000001</v>
      </c>
      <c r="I26" s="22">
        <f>'calcul intermédiaire1 grahique'!I26</f>
        <v>602.70773299999996</v>
      </c>
      <c r="J26" s="22">
        <f>'calcul intermédiaire1 grahique'!J26</f>
        <v>783.28695400000004</v>
      </c>
      <c r="K26" s="22">
        <f>'calcul intermédiaire1 grahique'!K26</f>
        <v>934.55369900000005</v>
      </c>
      <c r="L26" s="22">
        <f>'calcul intermédiaire1 grahique'!L26</f>
        <v>1068.7797919999998</v>
      </c>
      <c r="M26" s="22">
        <f>'calcul intermédiaire1 grahique'!M26</f>
        <v>1143.9708189999999</v>
      </c>
    </row>
    <row r="27" spans="1:14" ht="18" customHeight="1" x14ac:dyDescent="0.2">
      <c r="A27" s="38"/>
      <c r="B27" s="22"/>
      <c r="C27" s="22"/>
      <c r="D27" s="22"/>
      <c r="E27" s="22"/>
      <c r="F27" s="22"/>
      <c r="G27" s="22"/>
      <c r="H27" s="22"/>
      <c r="I27" s="22"/>
      <c r="J27" s="20"/>
      <c r="K27" s="20"/>
      <c r="L27" s="20"/>
      <c r="M27" s="21"/>
    </row>
    <row r="28" spans="1:14" ht="18" customHeight="1" x14ac:dyDescent="0.2">
      <c r="A28" s="38" t="s">
        <v>3</v>
      </c>
      <c r="B28" s="22"/>
      <c r="C28" s="22"/>
      <c r="D28" s="22"/>
      <c r="E28" s="22"/>
      <c r="F28" s="22"/>
      <c r="G28" s="22"/>
      <c r="H28" s="22"/>
      <c r="I28" s="22"/>
      <c r="J28" s="20"/>
      <c r="K28" s="20"/>
      <c r="L28" s="20"/>
      <c r="M28" s="21"/>
    </row>
    <row r="29" spans="1:14" ht="18" customHeight="1" x14ac:dyDescent="0.2">
      <c r="A29" s="38" t="s">
        <v>18</v>
      </c>
      <c r="B29" s="22"/>
      <c r="C29" s="22"/>
      <c r="D29" s="22"/>
      <c r="E29" s="22"/>
      <c r="F29" s="22"/>
      <c r="G29" s="22"/>
      <c r="H29" s="22"/>
      <c r="I29" s="22"/>
      <c r="J29" s="20"/>
      <c r="K29" s="20"/>
      <c r="L29" s="20"/>
      <c r="M29" s="21"/>
    </row>
    <row r="30" spans="1:14" ht="18" customHeight="1" x14ac:dyDescent="0.2">
      <c r="A30" s="38" t="s">
        <v>19</v>
      </c>
      <c r="B30" s="22">
        <f>'calcul intermédiaire1 grahique'!B30</f>
        <v>257.24725828532422</v>
      </c>
      <c r="C30" s="22">
        <f>'calcul intermédiaire1 grahique'!C30</f>
        <v>375.15225166609781</v>
      </c>
      <c r="D30" s="22">
        <f>'calcul intermédiaire1 grahique'!D30</f>
        <v>486.62606358973829</v>
      </c>
      <c r="E30" s="22">
        <f>'calcul intermédiaire1 grahique'!E30</f>
        <v>754.59195763695095</v>
      </c>
      <c r="F30" s="22">
        <f>'calcul intermédiaire1 grahique'!F30</f>
        <v>859.2</v>
      </c>
      <c r="G30" s="22">
        <f>'calcul intermédiaire1 grahique'!G30</f>
        <v>970.9</v>
      </c>
      <c r="H30" s="22">
        <f>'calcul intermédiaire1 grahique'!H30</f>
        <v>1119.3</v>
      </c>
      <c r="I30" s="22">
        <f>'calcul intermédiaire1 grahique'!I30</f>
        <v>1292.3</v>
      </c>
      <c r="J30" s="22">
        <f>'calcul intermédiaire1 grahique'!J30</f>
        <v>1619</v>
      </c>
      <c r="K30" s="22">
        <f>'calcul intermédiaire1 grahique'!K30</f>
        <v>1606</v>
      </c>
      <c r="L30" s="22">
        <f>'calcul intermédiaire1 grahique'!L30</f>
        <v>1798.1</v>
      </c>
      <c r="M30" s="22">
        <f>'calcul intermédiaire1 grahique'!M30</f>
        <v>1888.3</v>
      </c>
      <c r="N30" s="22">
        <f>'calcul intermédiaire1 grahique'!N30</f>
        <v>2010</v>
      </c>
    </row>
    <row r="31" spans="1:14" ht="18" customHeight="1" x14ac:dyDescent="0.2">
      <c r="A31" s="38" t="s">
        <v>21</v>
      </c>
      <c r="B31" s="22">
        <f>'calcul intermédiaire1 grahique'!B31</f>
        <v>209.8614330447104</v>
      </c>
      <c r="C31" s="22">
        <f>'calcul intermédiaire1 grahique'!C31</f>
        <v>303.13318106458166</v>
      </c>
      <c r="D31" s="22">
        <f>'calcul intermédiaire1 grahique'!D31</f>
        <v>373.08699207948513</v>
      </c>
      <c r="E31" s="22">
        <f>'calcul intermédiaire1 grahique'!E31</f>
        <v>466.35874009935634</v>
      </c>
      <c r="F31" s="22">
        <f>'calcul intermédiaire1 grahique'!F31</f>
        <v>548.6</v>
      </c>
      <c r="G31" s="22">
        <f>'calcul intermédiaire1 grahique'!G31</f>
        <v>602.6</v>
      </c>
      <c r="H31" s="22">
        <f>'calcul intermédiaire1 grahique'!H31</f>
        <v>674.2</v>
      </c>
      <c r="I31" s="22">
        <f>'calcul intermédiaire1 grahique'!I31</f>
        <v>743.8</v>
      </c>
      <c r="J31" s="22">
        <f>'calcul intermédiaire1 grahique'!J31</f>
        <v>912.1</v>
      </c>
      <c r="K31" s="22">
        <f>'calcul intermédiaire1 grahique'!K31</f>
        <v>1577.4</v>
      </c>
      <c r="L31" s="22">
        <f>'calcul intermédiaire1 grahique'!L31</f>
        <v>1890.7</v>
      </c>
      <c r="M31" s="22">
        <f>'calcul intermédiaire1 grahique'!M31</f>
        <v>2009.2</v>
      </c>
      <c r="N31" s="22">
        <f>'calcul intermédiaire1 grahique'!N31</f>
        <v>2079.4</v>
      </c>
    </row>
    <row r="32" spans="1:14" ht="18" customHeight="1" x14ac:dyDescent="0.2">
      <c r="A32" s="38" t="s">
        <v>77</v>
      </c>
      <c r="B32" s="22">
        <f>'calcul intermédiaire1 grahique'!B32</f>
        <v>613.9912272725835</v>
      </c>
      <c r="C32" s="22">
        <f>'calcul intermédiaire1 grahique'!C32</f>
        <v>516.87765957446811</v>
      </c>
      <c r="D32" s="22">
        <f>'calcul intermédiaire1 grahique'!D32</f>
        <v>589.88297872340422</v>
      </c>
      <c r="E32" s="22">
        <f>'calcul intermédiaire1 grahique'!E32</f>
        <v>549</v>
      </c>
      <c r="F32" s="22">
        <f>'calcul intermédiaire1 grahique'!F32</f>
        <v>544.9</v>
      </c>
      <c r="G32" s="22">
        <f>'calcul intermédiaire1 grahique'!G32</f>
        <v>532.1</v>
      </c>
      <c r="H32" s="22">
        <f>'calcul intermédiaire1 grahique'!H32</f>
        <v>511</v>
      </c>
      <c r="I32" s="22">
        <f>'calcul intermédiaire1 grahique'!I32</f>
        <v>508.9</v>
      </c>
      <c r="J32" s="22">
        <f>'calcul intermédiaire1 grahique'!J32</f>
        <v>555.9</v>
      </c>
      <c r="K32" s="22">
        <f>'calcul intermédiaire1 grahique'!K32</f>
        <v>881.5</v>
      </c>
      <c r="L32" s="22">
        <f>'calcul intermédiaire1 grahique'!L32</f>
        <v>750.8</v>
      </c>
      <c r="M32" s="22">
        <f>'calcul intermédiaire1 grahique'!M32</f>
        <v>801.2</v>
      </c>
      <c r="N32" s="22">
        <f>'calcul intermédiaire1 grahique'!N32</f>
        <v>862.1</v>
      </c>
    </row>
    <row r="33" spans="1:14" ht="18" customHeight="1" x14ac:dyDescent="0.2">
      <c r="A33" s="38" t="s">
        <v>86</v>
      </c>
      <c r="B33" s="22">
        <f>'calcul intermédiaire1 grahique'!B33</f>
        <v>140.01332477449873</v>
      </c>
      <c r="C33" s="22">
        <f>'calcul intermédiaire1 grahique'!C33</f>
        <v>117.86774208510637</v>
      </c>
      <c r="D33" s="22">
        <f>'calcul intermédiaire1 grahique'!D33</f>
        <v>134.51572825531912</v>
      </c>
      <c r="E33" s="22">
        <f>'calcul intermédiaire1 grahique'!E33</f>
        <v>125.19285600000001</v>
      </c>
      <c r="F33" s="22">
        <f>'calcul intermédiaire1 grahique'!F33</f>
        <v>143.62457599999999</v>
      </c>
      <c r="G33" s="22">
        <f>'calcul intermédiaire1 grahique'!G33</f>
        <v>160.03877</v>
      </c>
      <c r="H33" s="22">
        <f>'calcul intermédiaire1 grahique'!H33</f>
        <v>199.63588200000001</v>
      </c>
      <c r="I33" s="22">
        <f>'calcul intermédiaire1 grahique'!I33</f>
        <v>229.43494699999999</v>
      </c>
      <c r="J33" s="22">
        <f>'calcul intermédiaire1 grahique'!J33</f>
        <v>295.12589700000001</v>
      </c>
      <c r="K33" s="22">
        <f>'calcul intermédiaire1 grahique'!K33</f>
        <v>416.47347100000002</v>
      </c>
      <c r="L33" s="22">
        <f>'calcul intermédiaire1 grahique'!L33</f>
        <v>531.98598100000004</v>
      </c>
      <c r="M33" s="22">
        <f>'calcul intermédiaire1 grahique'!M33</f>
        <v>565.65884300000005</v>
      </c>
    </row>
    <row r="34" spans="1:14" ht="18" customHeight="1" x14ac:dyDescent="0.2">
      <c r="A34" s="38" t="s">
        <v>95</v>
      </c>
      <c r="B34" s="24">
        <f t="shared" ref="B34:M34" si="1">B30+B31+B32+B33</f>
        <v>1221.1132433771168</v>
      </c>
      <c r="C34" s="24">
        <f t="shared" si="1"/>
        <v>1313.0308343902539</v>
      </c>
      <c r="D34" s="24">
        <f t="shared" si="1"/>
        <v>1584.1117626479468</v>
      </c>
      <c r="E34" s="24">
        <f t="shared" si="1"/>
        <v>1895.1435537363072</v>
      </c>
      <c r="F34" s="24">
        <f t="shared" si="1"/>
        <v>2096.3245760000004</v>
      </c>
      <c r="G34" s="24">
        <f t="shared" si="1"/>
        <v>2265.63877</v>
      </c>
      <c r="H34" s="24">
        <f t="shared" si="1"/>
        <v>2504.135882</v>
      </c>
      <c r="I34" s="24">
        <f t="shared" si="1"/>
        <v>2774.4349470000002</v>
      </c>
      <c r="J34" s="24">
        <f t="shared" si="1"/>
        <v>3382.1258969999999</v>
      </c>
      <c r="K34" s="24">
        <f t="shared" si="1"/>
        <v>4481.3734709999999</v>
      </c>
      <c r="L34" s="24">
        <f t="shared" si="1"/>
        <v>4971.5859810000002</v>
      </c>
      <c r="M34" s="27">
        <f t="shared" si="1"/>
        <v>5264.358843</v>
      </c>
    </row>
    <row r="35" spans="1:14" ht="18" customHeight="1" x14ac:dyDescent="0.2">
      <c r="A35" s="38"/>
      <c r="B35" s="24"/>
      <c r="C35" s="24"/>
      <c r="D35" s="24"/>
      <c r="E35" s="24"/>
      <c r="F35" s="24"/>
      <c r="G35" s="24"/>
      <c r="H35" s="24"/>
      <c r="I35" s="24"/>
      <c r="J35" s="20"/>
      <c r="K35" s="20"/>
      <c r="L35" s="20"/>
      <c r="M35" s="21"/>
    </row>
    <row r="36" spans="1:14" ht="18" customHeight="1" x14ac:dyDescent="0.2">
      <c r="A36" s="42" t="s">
        <v>62</v>
      </c>
      <c r="B36" s="43">
        <f t="shared" ref="B36:M36" si="2">B9+B19+B34+B26+B24</f>
        <v>2234.1117315598904</v>
      </c>
      <c r="C36" s="43">
        <f t="shared" si="2"/>
        <v>2536.8970360531157</v>
      </c>
      <c r="D36" s="43">
        <f t="shared" si="2"/>
        <v>2918.8320437171415</v>
      </c>
      <c r="E36" s="43">
        <f t="shared" si="2"/>
        <v>3388.6360197363074</v>
      </c>
      <c r="F36" s="43">
        <f t="shared" si="2"/>
        <v>3793.1618860000008</v>
      </c>
      <c r="G36" s="43">
        <f t="shared" si="2"/>
        <v>4289.9897879999999</v>
      </c>
      <c r="H36" s="43">
        <f t="shared" si="2"/>
        <v>4957.2110789999997</v>
      </c>
      <c r="I36" s="43">
        <f t="shared" si="2"/>
        <v>5626.4100950000011</v>
      </c>
      <c r="J36" s="43">
        <f t="shared" si="2"/>
        <v>7272.0018700000001</v>
      </c>
      <c r="K36" s="43">
        <f t="shared" si="2"/>
        <v>9665.4760029999998</v>
      </c>
      <c r="L36" s="43">
        <f t="shared" si="2"/>
        <v>10881.187515</v>
      </c>
      <c r="M36" s="45">
        <f t="shared" si="2"/>
        <v>11282.463971000001</v>
      </c>
    </row>
    <row r="37" spans="1:14" ht="18" customHeight="1" x14ac:dyDescent="0.2">
      <c r="A37" s="38"/>
      <c r="B37" s="22"/>
      <c r="C37" s="22"/>
      <c r="D37" s="22"/>
      <c r="E37" s="22"/>
      <c r="F37" s="22"/>
      <c r="G37" s="22"/>
      <c r="H37" s="22"/>
      <c r="I37" s="22"/>
      <c r="J37" s="20"/>
      <c r="K37" s="20"/>
      <c r="L37" s="20"/>
      <c r="M37" s="21"/>
    </row>
    <row r="38" spans="1:14" ht="18" customHeight="1" x14ac:dyDescent="0.2">
      <c r="A38" s="38"/>
      <c r="B38" s="22"/>
      <c r="C38" s="22"/>
      <c r="D38" s="22"/>
      <c r="E38" s="22"/>
      <c r="F38" s="22"/>
      <c r="G38" s="22"/>
      <c r="H38" s="22"/>
      <c r="I38" s="22"/>
      <c r="J38" s="20"/>
      <c r="K38" s="20"/>
      <c r="L38" s="20"/>
      <c r="M38" s="21"/>
    </row>
    <row r="39" spans="1:14" ht="18" customHeight="1" x14ac:dyDescent="0.2">
      <c r="A39" s="38" t="s">
        <v>75</v>
      </c>
      <c r="B39" s="22"/>
      <c r="C39" s="22"/>
      <c r="D39" s="22"/>
      <c r="E39" s="22"/>
      <c r="F39" s="22"/>
      <c r="G39" s="22"/>
      <c r="H39" s="22"/>
      <c r="I39" s="22"/>
      <c r="J39" s="20"/>
      <c r="K39" s="20"/>
      <c r="L39" s="20"/>
      <c r="M39" s="21"/>
    </row>
    <row r="40" spans="1:14" ht="18" customHeight="1" x14ac:dyDescent="0.2">
      <c r="A40" s="38" t="s">
        <v>89</v>
      </c>
      <c r="B40" s="22">
        <f>'calcul intermédiaire1 grahique'!B40</f>
        <v>246.72972661343391</v>
      </c>
      <c r="C40" s="22">
        <f>'calcul intermédiaire1 grahique'!C40</f>
        <v>155.4259719944358</v>
      </c>
      <c r="D40" s="22">
        <f>'calcul intermédiaire1 grahique'!D40</f>
        <v>130.00727560864985</v>
      </c>
      <c r="E40" s="22">
        <f>'calcul intermédiaire1 grahique'!E40</f>
        <v>101.05967405678973</v>
      </c>
      <c r="F40" s="22">
        <f>'calcul intermédiaire1 grahique'!F40</f>
        <v>92.9</v>
      </c>
      <c r="G40" s="22">
        <f>'calcul intermédiaire1 grahique'!G40</f>
        <v>88.1</v>
      </c>
      <c r="H40" s="22">
        <f>'calcul intermédiaire1 grahique'!H40</f>
        <v>75.7</v>
      </c>
      <c r="I40" s="22">
        <f>'calcul intermédiaire1 grahique'!I40</f>
        <v>58.4</v>
      </c>
      <c r="J40" s="22">
        <f>'calcul intermédiaire1 grahique'!J40</f>
        <v>67</v>
      </c>
      <c r="K40" s="22">
        <f>'calcul intermédiaire1 grahique'!K40</f>
        <v>132.6</v>
      </c>
      <c r="L40" s="22">
        <f>'calcul intermédiaire1 grahique'!L40</f>
        <v>184.8</v>
      </c>
      <c r="M40" s="22">
        <f>'calcul intermédiaire1 grahique'!M40</f>
        <v>182.3</v>
      </c>
      <c r="N40" s="22">
        <f>'calcul intermédiaire1 grahique'!N40</f>
        <v>152.19999999999999</v>
      </c>
    </row>
    <row r="41" spans="1:14" ht="18" customHeight="1" x14ac:dyDescent="0.2">
      <c r="A41" s="38" t="s">
        <v>90</v>
      </c>
      <c r="B41" s="24"/>
      <c r="C41" s="24"/>
      <c r="D41" s="24"/>
      <c r="E41" s="24"/>
      <c r="F41" s="24"/>
      <c r="G41" s="24"/>
      <c r="H41" s="24"/>
      <c r="I41" s="24"/>
      <c r="J41" s="20"/>
      <c r="K41" s="20"/>
      <c r="L41" s="20"/>
      <c r="M41" s="21"/>
    </row>
    <row r="42" spans="1:14" ht="18" customHeight="1" x14ac:dyDescent="0.2">
      <c r="A42" s="38"/>
      <c r="B42" s="24"/>
      <c r="C42" s="24"/>
      <c r="D42" s="24"/>
      <c r="E42" s="24"/>
      <c r="F42" s="24"/>
      <c r="G42" s="24"/>
      <c r="H42" s="24"/>
      <c r="I42" s="24"/>
      <c r="J42" s="20"/>
      <c r="K42" s="20"/>
      <c r="L42" s="20"/>
      <c r="M42" s="21"/>
    </row>
    <row r="43" spans="1:14" ht="18" customHeight="1" x14ac:dyDescent="0.2">
      <c r="A43" s="38" t="s">
        <v>32</v>
      </c>
      <c r="B43" s="22">
        <f>'calcul intermédiaire1 grahique'!B43</f>
        <v>1459.937005012742</v>
      </c>
      <c r="C43" s="22">
        <f>'calcul intermédiaire1 grahique'!C43</f>
        <v>1338.7346876154577</v>
      </c>
      <c r="D43" s="22">
        <f>'calcul intermédiaire1 grahique'!D43</f>
        <v>1451.6710681711879</v>
      </c>
      <c r="E43" s="22">
        <f>'calcul intermédiaire1 grahique'!E43</f>
        <v>2248.8006249999999</v>
      </c>
      <c r="F43" s="22">
        <f>'calcul intermédiaire1 grahique'!F43</f>
        <v>2473.8239720000001</v>
      </c>
      <c r="G43" s="22">
        <f>'calcul intermédiaire1 grahique'!G43</f>
        <v>2535.7553539999999</v>
      </c>
      <c r="H43" s="22">
        <f>'calcul intermédiaire1 grahique'!H43</f>
        <v>2887.4748730000001</v>
      </c>
      <c r="I43" s="22">
        <f>'calcul intermédiaire1 grahique'!I43</f>
        <v>3301.4014310000002</v>
      </c>
      <c r="J43" s="22">
        <f>'calcul intermédiaire1 grahique'!J43</f>
        <v>3922.574541</v>
      </c>
      <c r="K43" s="22">
        <f>'calcul intermédiaire1 grahique'!K43</f>
        <v>4341.6678570000004</v>
      </c>
      <c r="L43" s="22">
        <f>'calcul intermédiaire1 grahique'!L43</f>
        <v>4359.3818369999999</v>
      </c>
      <c r="M43" s="22">
        <f>'calcul intermédiaire1 grahique'!M43</f>
        <v>4224.8768849999997</v>
      </c>
    </row>
    <row r="44" spans="1:14" ht="18" customHeight="1" x14ac:dyDescent="0.2">
      <c r="A44" s="38" t="s">
        <v>33</v>
      </c>
      <c r="B44" s="24"/>
      <c r="C44" s="24"/>
      <c r="D44" s="24"/>
      <c r="E44" s="24"/>
      <c r="F44" s="24"/>
      <c r="G44" s="24"/>
      <c r="H44" s="24"/>
      <c r="I44" s="24"/>
      <c r="J44" s="20"/>
      <c r="K44" s="20"/>
      <c r="L44" s="20"/>
      <c r="M44" s="21"/>
    </row>
    <row r="45" spans="1:14" ht="18" customHeight="1" x14ac:dyDescent="0.2">
      <c r="A45" s="38" t="s">
        <v>73</v>
      </c>
      <c r="B45" s="24"/>
      <c r="C45" s="24"/>
      <c r="D45" s="24"/>
      <c r="E45" s="22">
        <f>'calcul intermédiaire1 grahique'!E45</f>
        <v>1412.3765100000001</v>
      </c>
      <c r="F45" s="22">
        <f>'calcul intermédiaire1 grahique'!F45</f>
        <v>1514.331463</v>
      </c>
      <c r="G45" s="22">
        <f>'calcul intermédiaire1 grahique'!G45</f>
        <v>1488.622744</v>
      </c>
      <c r="H45" s="22">
        <f>'calcul intermédiaire1 grahique'!H45</f>
        <v>1705.9640300000001</v>
      </c>
      <c r="I45" s="22">
        <f>'calcul intermédiaire1 grahique'!I45</f>
        <v>1949.1654920000001</v>
      </c>
      <c r="J45" s="22">
        <f>'calcul intermédiaire1 grahique'!J45</f>
        <v>2265.2332059999999</v>
      </c>
      <c r="K45" s="22">
        <f>'calcul intermédiaire1 grahique'!K45</f>
        <v>2496.3279810000004</v>
      </c>
      <c r="L45" s="22">
        <f>'calcul intermédiaire1 grahique'!L45</f>
        <v>2483.374503</v>
      </c>
      <c r="M45" s="22">
        <f>'calcul intermédiaire1 grahique'!M45</f>
        <v>2386.7357019999999</v>
      </c>
    </row>
    <row r="46" spans="1:14" ht="18" customHeight="1" x14ac:dyDescent="0.2">
      <c r="A46" s="38" t="s">
        <v>72</v>
      </c>
      <c r="B46" s="24"/>
      <c r="C46" s="24"/>
      <c r="D46" s="24"/>
      <c r="E46" s="22">
        <f>'calcul intermédiaire1 grahique'!E46</f>
        <v>836.42411500000003</v>
      </c>
      <c r="F46" s="22">
        <f>'calcul intermédiaire1 grahique'!F46</f>
        <v>959.49250899999993</v>
      </c>
      <c r="G46" s="22">
        <f>'calcul intermédiaire1 grahique'!G46</f>
        <v>1047.1326099999999</v>
      </c>
      <c r="H46" s="22">
        <f>'calcul intermédiaire1 grahique'!H46</f>
        <v>1181.510843</v>
      </c>
      <c r="I46" s="22">
        <f>'calcul intermédiaire1 grahique'!I46</f>
        <v>1352.2359389999999</v>
      </c>
      <c r="J46" s="22">
        <f>'calcul intermédiaire1 grahique'!J46</f>
        <v>1657.3413350000001</v>
      </c>
      <c r="K46" s="22">
        <f>'calcul intermédiaire1 grahique'!K46</f>
        <v>1845.339876</v>
      </c>
      <c r="L46" s="22">
        <f>'calcul intermédiaire1 grahique'!L46</f>
        <v>1876.0073340000001</v>
      </c>
      <c r="M46" s="22">
        <f>'calcul intermédiaire1 grahique'!M46</f>
        <v>1838.141183</v>
      </c>
    </row>
    <row r="47" spans="1:14" ht="18" customHeight="1" x14ac:dyDescent="0.2">
      <c r="A47" s="38" t="s">
        <v>91</v>
      </c>
      <c r="B47" s="28">
        <f t="shared" ref="B47:M47" si="3">B40+B43</f>
        <v>1706.666731626176</v>
      </c>
      <c r="C47" s="28">
        <f t="shared" si="3"/>
        <v>1494.1606596098934</v>
      </c>
      <c r="D47" s="28">
        <f t="shared" si="3"/>
        <v>1581.6783437798379</v>
      </c>
      <c r="E47" s="28">
        <f t="shared" si="3"/>
        <v>2349.8602990567897</v>
      </c>
      <c r="F47" s="28">
        <f t="shared" si="3"/>
        <v>2566.7239720000002</v>
      </c>
      <c r="G47" s="28">
        <f t="shared" si="3"/>
        <v>2623.8553539999998</v>
      </c>
      <c r="H47" s="28">
        <f t="shared" si="3"/>
        <v>2963.1748729999999</v>
      </c>
      <c r="I47" s="28">
        <f t="shared" si="3"/>
        <v>3359.8014310000003</v>
      </c>
      <c r="J47" s="28">
        <f t="shared" si="3"/>
        <v>3989.574541</v>
      </c>
      <c r="K47" s="28">
        <f t="shared" si="3"/>
        <v>4474.2678570000007</v>
      </c>
      <c r="L47" s="28">
        <f t="shared" si="3"/>
        <v>4544.1818370000001</v>
      </c>
      <c r="M47" s="29">
        <f t="shared" si="3"/>
        <v>4407.1768849999999</v>
      </c>
    </row>
    <row r="48" spans="1:14" ht="18" customHeight="1" x14ac:dyDescent="0.2">
      <c r="A48" s="38"/>
      <c r="B48" s="24"/>
      <c r="C48" s="24"/>
      <c r="D48" s="24"/>
      <c r="E48" s="24"/>
      <c r="F48" s="24"/>
      <c r="G48" s="24"/>
      <c r="H48" s="24"/>
      <c r="I48" s="24"/>
      <c r="J48" s="20"/>
      <c r="K48" s="20"/>
      <c r="L48" s="20"/>
      <c r="M48" s="21"/>
    </row>
    <row r="49" spans="1:17" ht="18" customHeight="1" x14ac:dyDescent="0.2">
      <c r="A49" s="38" t="s">
        <v>55</v>
      </c>
      <c r="B49" s="22">
        <f>'calcul intermédiaire1 grahique'!B49</f>
        <v>91.90572657435898</v>
      </c>
      <c r="C49" s="22">
        <f>'calcul intermédiaire1 grahique'!C49</f>
        <v>218.55630100000002</v>
      </c>
      <c r="D49" s="22">
        <f>'calcul intermédiaire1 grahique'!D49</f>
        <v>235.36832415384617</v>
      </c>
      <c r="E49" s="22">
        <f>'calcul intermédiaire1 grahique'!E49</f>
        <v>218.55630100000002</v>
      </c>
      <c r="F49" s="22">
        <f>'calcul intermédiaire1 grahique'!F49</f>
        <v>284.52291100000002</v>
      </c>
      <c r="G49" s="22">
        <f>'calcul intermédiaire1 grahique'!G49</f>
        <v>366.47905400000002</v>
      </c>
      <c r="H49" s="22">
        <f>'calcul intermédiaire1 grahique'!H49</f>
        <v>549.24476200000004</v>
      </c>
      <c r="I49" s="22">
        <f>'calcul intermédiaire1 grahique'!I49</f>
        <v>651.11641000000009</v>
      </c>
      <c r="J49" s="22">
        <f>'calcul intermédiaire1 grahique'!J49</f>
        <v>721.82863699999996</v>
      </c>
      <c r="K49" s="22">
        <f>'calcul intermédiaire1 grahique'!K49</f>
        <v>694.68526199999997</v>
      </c>
      <c r="L49" s="22">
        <f>'calcul intermédiaire1 grahique'!L49</f>
        <v>762.46464099999992</v>
      </c>
      <c r="M49" s="22">
        <f>'calcul intermédiaire1 grahique'!M49</f>
        <v>776.42248499999994</v>
      </c>
    </row>
    <row r="50" spans="1:17" ht="18" customHeight="1" x14ac:dyDescent="0.2">
      <c r="A50" s="38"/>
      <c r="B50" s="24"/>
      <c r="C50" s="24"/>
      <c r="D50" s="24"/>
      <c r="E50" s="24"/>
      <c r="F50" s="24"/>
      <c r="G50" s="24"/>
      <c r="H50" s="24"/>
      <c r="I50" s="24"/>
      <c r="J50" s="20"/>
      <c r="K50" s="20"/>
      <c r="L50" s="20"/>
      <c r="M50" s="21"/>
    </row>
    <row r="51" spans="1:17" ht="18" customHeight="1" x14ac:dyDescent="0.2">
      <c r="A51" s="38" t="s">
        <v>37</v>
      </c>
      <c r="B51" s="28">
        <f>'calcul intermédiaire1 grahique'!B51</f>
        <v>1203.9146586345382</v>
      </c>
      <c r="C51" s="28">
        <f>'calcul intermédiaire1 grahique'!C51</f>
        <v>1544.4248493975904</v>
      </c>
      <c r="D51" s="28">
        <f>'calcul intermédiaire1 grahique'!D51</f>
        <v>1691.7696285140562</v>
      </c>
      <c r="E51" s="28">
        <f>'calcul intermédiaire1 grahique'!E51</f>
        <v>1789.7</v>
      </c>
      <c r="F51" s="28">
        <f>'calcul intermédiaire1 grahique'!F51</f>
        <v>2110.5</v>
      </c>
      <c r="G51" s="28">
        <f>'calcul intermédiaire1 grahique'!G51</f>
        <v>2425.1999999999998</v>
      </c>
      <c r="H51" s="28">
        <f>'calcul intermédiaire1 grahique'!H51</f>
        <v>2677.3</v>
      </c>
      <c r="I51" s="28">
        <f>'calcul intermédiaire1 grahique'!I51</f>
        <v>2830.9</v>
      </c>
      <c r="J51" s="28">
        <f>'calcul intermédiaire1 grahique'!J51</f>
        <v>3001</v>
      </c>
      <c r="K51" s="28">
        <f>'calcul intermédiaire1 grahique'!K51</f>
        <v>3182.7</v>
      </c>
      <c r="L51" s="28">
        <f>'calcul intermédiaire1 grahique'!L51</f>
        <v>3458.2</v>
      </c>
      <c r="M51" s="28">
        <f>'calcul intermédiaire1 grahique'!M51</f>
        <v>3458</v>
      </c>
      <c r="N51" s="28">
        <f>'calcul intermédiaire1 grahique'!N51</f>
        <v>3455.6</v>
      </c>
    </row>
    <row r="52" spans="1:17" ht="18" customHeight="1" x14ac:dyDescent="0.2">
      <c r="A52" s="38"/>
      <c r="B52" s="24"/>
      <c r="C52" s="24"/>
      <c r="D52" s="24"/>
      <c r="E52" s="24"/>
      <c r="F52" s="24"/>
      <c r="G52" s="24"/>
      <c r="H52" s="24"/>
      <c r="I52" s="24"/>
      <c r="J52" s="20"/>
      <c r="K52" s="20"/>
      <c r="L52" s="20"/>
      <c r="M52" s="21"/>
    </row>
    <row r="53" spans="1:17" ht="18" customHeight="1" x14ac:dyDescent="0.2">
      <c r="A53" s="38" t="s">
        <v>87</v>
      </c>
      <c r="B53" s="24"/>
      <c r="C53" s="24"/>
      <c r="D53" s="24"/>
      <c r="E53" s="24"/>
      <c r="F53" s="24"/>
      <c r="G53" s="24"/>
      <c r="H53" s="24"/>
      <c r="I53" s="24"/>
      <c r="J53" s="20"/>
      <c r="K53" s="20"/>
      <c r="L53" s="20"/>
      <c r="M53" s="21"/>
    </row>
    <row r="54" spans="1:17" ht="18" customHeight="1" x14ac:dyDescent="0.2">
      <c r="A54" s="38" t="s">
        <v>92</v>
      </c>
      <c r="B54" s="22">
        <f>'calcul intermédiaire1 grahique'!B54</f>
        <v>467.08873278007525</v>
      </c>
      <c r="C54" s="22">
        <f>'calcul intermédiaire1 grahique'!C54</f>
        <v>777.72287737080694</v>
      </c>
      <c r="D54" s="22">
        <f>'calcul intermédiaire1 grahique'!D54</f>
        <v>663.78085200220119</v>
      </c>
      <c r="E54" s="22">
        <f>'calcul intermédiaire1 grahique'!E54</f>
        <v>543.32052185620478</v>
      </c>
      <c r="F54" s="22">
        <f>'calcul intermédiaire1 grahique'!F54</f>
        <v>557.19309836662524</v>
      </c>
      <c r="G54" s="22">
        <f>'calcul intermédiaire1 grahique'!G54</f>
        <v>593.15592839816679</v>
      </c>
      <c r="H54" s="22">
        <f>'calcul intermédiaire1 grahique'!H54</f>
        <v>607.92665330372415</v>
      </c>
      <c r="I54" s="22">
        <f>'calcul intermédiaire1 grahique'!I54</f>
        <v>631.69283858742858</v>
      </c>
      <c r="J54" s="22">
        <f>'calcul intermédiaire1 grahique'!J54</f>
        <v>680.79629399999999</v>
      </c>
      <c r="K54" s="22">
        <f>'calcul intermédiaire1 grahique'!K54</f>
        <v>713.59596299999998</v>
      </c>
      <c r="L54" s="22">
        <f>'calcul intermédiaire1 grahique'!L54</f>
        <v>780.12035900000001</v>
      </c>
      <c r="M54" s="22">
        <f>'calcul intermédiaire1 grahique'!M54</f>
        <v>797.36707699999999</v>
      </c>
    </row>
    <row r="55" spans="1:17" ht="18" customHeight="1" x14ac:dyDescent="0.2">
      <c r="A55" s="38" t="s">
        <v>60</v>
      </c>
      <c r="B55" s="22">
        <f>'calcul intermédiaire1 grahique'!B55</f>
        <v>25.146199882715088</v>
      </c>
      <c r="C55" s="22">
        <f>'calcul intermédiaire1 grahique'!C55</f>
        <v>36.042886498558296</v>
      </c>
      <c r="D55" s="22">
        <f>'calcul intermédiaire1 grahique'!D55</f>
        <v>40.233919812344141</v>
      </c>
      <c r="E55" s="22">
        <f>'calcul intermédiaire1 grahique'!E55</f>
        <v>48.615986439915837</v>
      </c>
      <c r="F55" s="22">
        <f>'calcul intermédiaire1 grahique'!F55</f>
        <v>80.423979659873751</v>
      </c>
      <c r="G55" s="22">
        <f>'calcul intermédiaire1 grahique'!G55</f>
        <v>99.950228792724104</v>
      </c>
      <c r="H55" s="22">
        <f>'calcul intermédiaire1 grahique'!H55</f>
        <v>136.02407739657144</v>
      </c>
      <c r="I55" s="22">
        <f>'calcul intermédiaire1 grahique'!I55</f>
        <v>156.05626592000002</v>
      </c>
      <c r="J55" s="22">
        <f>'calcul intermédiaire1 grahique'!J55</f>
        <v>194.25506899999999</v>
      </c>
      <c r="K55" s="22">
        <f>'calcul intermédiaire1 grahique'!K55</f>
        <v>253.50820100000001</v>
      </c>
      <c r="L55" s="22">
        <f>'calcul intermédiaire1 grahique'!L55</f>
        <v>272.34986499999997</v>
      </c>
      <c r="M55" s="22">
        <f>'calcul intermédiaire1 grahique'!M55</f>
        <v>259.858251</v>
      </c>
    </row>
    <row r="56" spans="1:17" ht="18" customHeight="1" x14ac:dyDescent="0.2">
      <c r="A56" s="38" t="s">
        <v>93</v>
      </c>
      <c r="B56" s="22">
        <f>'calcul intermédiaire1 grahique'!B56</f>
        <v>72</v>
      </c>
      <c r="C56" s="22">
        <f>'calcul intermédiaire1 grahique'!C56</f>
        <v>63</v>
      </c>
      <c r="D56" s="22">
        <f>'calcul intermédiaire1 grahique'!D56</f>
        <v>67</v>
      </c>
      <c r="E56" s="22">
        <f>'calcul intermédiaire1 grahique'!E56</f>
        <v>62.852471266870438</v>
      </c>
      <c r="F56" s="22">
        <f>'calcul intermédiaire1 grahique'!F56</f>
        <v>63.085029406405319</v>
      </c>
      <c r="G56" s="22">
        <f>'calcul intermédiaire1 grahique'!G56</f>
        <v>60.294953276225911</v>
      </c>
      <c r="H56" s="22">
        <f>'calcul intermédiaire1 grahique'!H56</f>
        <v>53.629944060863785</v>
      </c>
      <c r="I56" s="22">
        <f>'calcul intermédiaire1 grahique'!I56</f>
        <v>42.392327341714285</v>
      </c>
      <c r="J56" s="22">
        <f>'calcul intermédiaire1 grahique'!J56</f>
        <v>23.274804</v>
      </c>
      <c r="K56" s="22">
        <f>'calcul intermédiaire1 grahique'!K56</f>
        <v>11.797596</v>
      </c>
      <c r="L56" s="22">
        <f>'calcul intermédiaire1 grahique'!L56</f>
        <v>13.675360000000001</v>
      </c>
      <c r="M56" s="22">
        <f>'calcul intermédiaire1 grahique'!M56</f>
        <v>15.298076999999999</v>
      </c>
    </row>
    <row r="57" spans="1:17" ht="18" customHeight="1" x14ac:dyDescent="0.2">
      <c r="A57" s="38" t="s">
        <v>45</v>
      </c>
      <c r="B57" s="22">
        <f>'calcul intermédiaire1 grahique'!B57</f>
        <v>0</v>
      </c>
      <c r="C57" s="22">
        <f>'calcul intermédiaire1 grahique'!C57</f>
        <v>2.0040974113841208</v>
      </c>
      <c r="D57" s="22">
        <f>'calcul intermédiaire1 grahique'!D57</f>
        <v>9.0368767024570875</v>
      </c>
      <c r="E57" s="22">
        <f>'calcul intermédiaire1 grahique'!E57</f>
        <v>12.049168936609451</v>
      </c>
      <c r="F57" s="22">
        <f>'calcul intermédiaire1 grahique'!F57</f>
        <v>17.069655993530056</v>
      </c>
      <c r="G57" s="22">
        <f>'calcul intermédiaire1 grahique'!G57</f>
        <v>26.921867284983609</v>
      </c>
      <c r="H57" s="22">
        <f>'calcul intermédiaire1 grahique'!H57</f>
        <v>37.242178499147542</v>
      </c>
      <c r="I57" s="22">
        <f>'calcul intermédiaire1 grahique'!I57</f>
        <v>51.460230150857143</v>
      </c>
      <c r="J57" s="22">
        <f>'calcul intermédiaire1 grahique'!J57</f>
        <v>61.317029999999995</v>
      </c>
      <c r="K57" s="22">
        <f>'calcul intermédiaire1 grahique'!K57</f>
        <v>74.557501000000002</v>
      </c>
      <c r="L57" s="22">
        <f>'calcul intermédiaire1 grahique'!L57</f>
        <v>79.295929999999998</v>
      </c>
      <c r="M57" s="22">
        <f>'calcul intermédiaire1 grahique'!M57</f>
        <v>71.085082</v>
      </c>
    </row>
    <row r="58" spans="1:17" ht="18" customHeight="1" x14ac:dyDescent="0.2">
      <c r="A58" s="38" t="s">
        <v>70</v>
      </c>
      <c r="B58" s="22">
        <f>'calcul intermédiaire1 grahique'!B58</f>
        <v>61.124015948637862</v>
      </c>
      <c r="C58" s="22">
        <f>'calcul intermédiaire1 grahique'!C58</f>
        <v>62.607170400500536</v>
      </c>
      <c r="D58" s="22">
        <f>'calcul intermédiaire1 grahique'!D58</f>
        <v>75.844932732997449</v>
      </c>
      <c r="E58" s="22">
        <f>'calcul intermédiaire1 grahique'!E58</f>
        <v>135.62256950039955</v>
      </c>
      <c r="F58" s="22">
        <f>'calcul intermédiaire1 grahique'!F58</f>
        <v>160.29352457356549</v>
      </c>
      <c r="G58" s="22">
        <f>'calcul intermédiaire1 grahique'!G58</f>
        <v>192.51352824789967</v>
      </c>
      <c r="H58" s="22">
        <f>'calcul intermédiaire1 grahique'!H58</f>
        <v>222.54699373969333</v>
      </c>
      <c r="I58" s="22">
        <f>'calcul intermédiaire1 grahique'!I58</f>
        <v>250.00000000000011</v>
      </c>
      <c r="J58" s="22">
        <f>'calcul intermédiaire1 grahique'!J58</f>
        <v>250.983453</v>
      </c>
      <c r="K58" s="22">
        <f>'calcul intermédiaire1 grahique'!K58</f>
        <v>267.21143000000001</v>
      </c>
      <c r="L58" s="22">
        <f>'calcul intermédiaire1 grahique'!L58</f>
        <v>261.96576199999998</v>
      </c>
      <c r="M58" s="22">
        <f>'calcul intermédiaire1 grahique'!M58</f>
        <v>244.85614100000001</v>
      </c>
    </row>
    <row r="59" spans="1:17" ht="18" customHeight="1" x14ac:dyDescent="0.2">
      <c r="A59" s="38" t="s">
        <v>47</v>
      </c>
      <c r="B59" s="28">
        <f>'calcul intermédiaire1 grahique'!B59</f>
        <v>609.21530754892831</v>
      </c>
      <c r="C59" s="28">
        <f>'calcul intermédiaire1 grahique'!C59</f>
        <v>916.27250000000004</v>
      </c>
      <c r="D59" s="28">
        <f>'calcul intermédiaire1 grahique'!D59</f>
        <v>832.5</v>
      </c>
      <c r="E59" s="28">
        <f>'calcul intermédiaire1 grahique'!E59</f>
        <v>780</v>
      </c>
      <c r="F59" s="28">
        <f>'calcul intermédiaire1 grahique'!F59</f>
        <v>857.4</v>
      </c>
      <c r="G59" s="28">
        <f>'calcul intermédiaire1 grahique'!G59</f>
        <v>953.4</v>
      </c>
      <c r="H59" s="28">
        <f>'calcul intermédiaire1 grahique'!H59</f>
        <v>1037.8</v>
      </c>
      <c r="I59" s="28">
        <f>'calcul intermédiaire1 grahique'!I59</f>
        <v>1110.7</v>
      </c>
      <c r="J59" s="28">
        <f>'calcul intermédiaire1 grahique'!J59</f>
        <v>1195.9000000000001</v>
      </c>
      <c r="K59" s="28">
        <f>'calcul intermédiaire1 grahique'!K59</f>
        <v>1322.2</v>
      </c>
      <c r="L59" s="28">
        <f>'calcul intermédiaire1 grahique'!L59</f>
        <v>1406.3</v>
      </c>
      <c r="M59" s="28">
        <f>'calcul intermédiaire1 grahique'!M59</f>
        <v>1377.8</v>
      </c>
      <c r="N59" s="28">
        <f>'calcul intermédiaire1 grahique'!N59</f>
        <v>1389.1</v>
      </c>
    </row>
    <row r="60" spans="1:17" ht="18" customHeight="1" x14ac:dyDescent="0.2">
      <c r="A60" s="38"/>
      <c r="B60" s="24"/>
      <c r="C60" s="24"/>
      <c r="D60" s="24"/>
      <c r="E60" s="24"/>
      <c r="F60" s="24"/>
      <c r="G60" s="24"/>
      <c r="H60" s="24"/>
      <c r="I60" s="24"/>
      <c r="J60" s="20"/>
      <c r="K60" s="20"/>
      <c r="L60" s="20"/>
      <c r="M60" s="21"/>
    </row>
    <row r="61" spans="1:17" ht="18" customHeight="1" x14ac:dyDescent="0.2">
      <c r="A61" s="38"/>
      <c r="B61" s="20"/>
      <c r="C61" s="20"/>
      <c r="D61" s="20"/>
      <c r="E61" s="30"/>
      <c r="F61" s="20"/>
      <c r="G61" s="20"/>
      <c r="H61" s="20"/>
      <c r="I61" s="20"/>
      <c r="J61" s="20"/>
      <c r="K61" s="20"/>
      <c r="L61" s="20"/>
      <c r="M61" s="21"/>
    </row>
    <row r="62" spans="1:17" ht="18" customHeight="1" x14ac:dyDescent="0.2">
      <c r="A62" s="38" t="s">
        <v>49</v>
      </c>
      <c r="B62" s="31">
        <f t="shared" ref="B62:M62" si="4">B9+B19+B26+B30+B31+B32+B33+B47+B49+B51+B59+B24</f>
        <v>5845.8141559438927</v>
      </c>
      <c r="C62" s="31">
        <f t="shared" si="4"/>
        <v>6710.3113460605982</v>
      </c>
      <c r="D62" s="31">
        <f t="shared" si="4"/>
        <v>7260.148340164882</v>
      </c>
      <c r="E62" s="31">
        <f t="shared" si="4"/>
        <v>8526.7526197930983</v>
      </c>
      <c r="F62" s="31">
        <f t="shared" si="4"/>
        <v>9612.3087689999993</v>
      </c>
      <c r="G62" s="31">
        <f t="shared" si="4"/>
        <v>10658.924196</v>
      </c>
      <c r="H62" s="31">
        <f t="shared" si="4"/>
        <v>12184.730713999999</v>
      </c>
      <c r="I62" s="31">
        <f t="shared" si="4"/>
        <v>13578.927936</v>
      </c>
      <c r="J62" s="31">
        <f t="shared" si="4"/>
        <v>16180.305048</v>
      </c>
      <c r="K62" s="31">
        <f t="shared" si="4"/>
        <v>19339.329121999999</v>
      </c>
      <c r="L62" s="31">
        <f t="shared" si="4"/>
        <v>21052.333993</v>
      </c>
      <c r="M62" s="32">
        <f t="shared" si="4"/>
        <v>21301.863340999997</v>
      </c>
      <c r="N62" s="15">
        <f>(G62/B62)^(1/56)</f>
        <v>1.0107840116517195</v>
      </c>
      <c r="P62" s="15">
        <f>(K62/I62)^(1/20)</f>
        <v>1.0178383169555369</v>
      </c>
      <c r="Q62" s="15">
        <f>(M62/K62)^(1/11)</f>
        <v>1.0088254208453409</v>
      </c>
    </row>
    <row r="63" spans="1:17" ht="18" customHeight="1" x14ac:dyDescent="0.2">
      <c r="A63" s="38" t="s">
        <v>52</v>
      </c>
      <c r="B63" s="33">
        <f t="shared" ref="B63:M63" si="5">B62/B64</f>
        <v>0.29328595264656432</v>
      </c>
      <c r="C63" s="33">
        <f t="shared" si="5"/>
        <v>0.32744595744946925</v>
      </c>
      <c r="D63" s="33">
        <f t="shared" si="5"/>
        <v>0.38284728321697958</v>
      </c>
      <c r="E63" s="33">
        <f t="shared" si="5"/>
        <v>0.43209924462927263</v>
      </c>
      <c r="F63" s="33">
        <f t="shared" si="5"/>
        <v>0.47696797280793524</v>
      </c>
      <c r="G63" s="33">
        <f t="shared" si="5"/>
        <v>0.5136402606410696</v>
      </c>
      <c r="H63" s="33">
        <f t="shared" si="5"/>
        <v>0.55164294661216884</v>
      </c>
      <c r="I63" s="33">
        <f t="shared" si="5"/>
        <v>0.59860925458704528</v>
      </c>
      <c r="J63" s="33">
        <f t="shared" si="5"/>
        <v>0.68361398048618316</v>
      </c>
      <c r="K63" s="33">
        <f t="shared" si="5"/>
        <v>0.75336386446042647</v>
      </c>
      <c r="L63" s="33">
        <f t="shared" si="5"/>
        <v>0.77489555438726454</v>
      </c>
      <c r="M63" s="34">
        <f t="shared" si="5"/>
        <v>0.78717654054091446</v>
      </c>
    </row>
    <row r="64" spans="1:17" ht="18" customHeight="1" thickBot="1" x14ac:dyDescent="0.25">
      <c r="A64" s="39" t="s">
        <v>51</v>
      </c>
      <c r="B64" s="31">
        <f>'calcul intermédiaire1 grahique'!B64</f>
        <v>19932.131434159135</v>
      </c>
      <c r="C64" s="31">
        <f>'calcul intermédiaire1 grahique'!C64</f>
        <v>20492.881934864377</v>
      </c>
      <c r="D64" s="31">
        <f>'calcul intermédiaire1 grahique'!D64</f>
        <v>18963.56238748644</v>
      </c>
      <c r="E64" s="31">
        <f>'calcul intermédiaire1 grahique'!E64</f>
        <v>19733.319893</v>
      </c>
      <c r="F64" s="31">
        <f>'calcul intermédiaire1 grahique'!F64</f>
        <v>20152.943839000003</v>
      </c>
      <c r="G64" s="31">
        <f>'calcul intermédiaire1 grahique'!G64</f>
        <v>20751.730370000001</v>
      </c>
      <c r="H64" s="31">
        <f>'calcul intermédiaire1 grahique'!H64</f>
        <v>22088.074883999998</v>
      </c>
      <c r="I64" s="31">
        <f>'calcul intermédiaire1 grahique'!I64</f>
        <v>22684.126301</v>
      </c>
      <c r="J64" s="31">
        <f>'calcul intermédiaire1 grahique'!J64</f>
        <v>23668.774352</v>
      </c>
      <c r="K64" s="31">
        <f>'calcul intermédiaire1 grahique'!K64</f>
        <v>25670.635445</v>
      </c>
      <c r="L64" s="31">
        <f>'calcul intermédiaire1 grahique'!L64</f>
        <v>27167.963313</v>
      </c>
      <c r="M64" s="31">
        <f>'calcul intermédiaire1 grahique'!M64</f>
        <v>27061.100329999997</v>
      </c>
      <c r="N64" s="15">
        <f>(G64/B64)^(1/56)</f>
        <v>1.0007198403893935</v>
      </c>
      <c r="P64" s="15">
        <f>(J64/G64)^(1/18)</f>
        <v>1.007333817621574</v>
      </c>
      <c r="Q64" s="15">
        <f>(M64/K64)^(1/11)</f>
        <v>1.0048069287144186</v>
      </c>
    </row>
    <row r="66" spans="1:14" ht="12.75" thickBot="1" x14ac:dyDescent="0.25"/>
    <row r="67" spans="1:14" x14ac:dyDescent="0.2">
      <c r="B67" s="18">
        <v>1906</v>
      </c>
      <c r="C67" s="18">
        <v>1926</v>
      </c>
      <c r="D67" s="18">
        <v>1936</v>
      </c>
      <c r="E67" s="18">
        <v>1954</v>
      </c>
      <c r="F67" s="18">
        <v>1962</v>
      </c>
      <c r="G67" s="18">
        <v>1968</v>
      </c>
      <c r="H67" s="18">
        <v>1974</v>
      </c>
      <c r="I67" s="18">
        <v>1980</v>
      </c>
      <c r="J67" s="18">
        <v>1990</v>
      </c>
      <c r="K67" s="18">
        <v>2000</v>
      </c>
      <c r="L67" s="18">
        <v>2008</v>
      </c>
      <c r="M67" s="19">
        <v>2011</v>
      </c>
      <c r="N67" s="15">
        <v>2016</v>
      </c>
    </row>
    <row r="68" spans="1:14" x14ac:dyDescent="0.2">
      <c r="A68" s="38" t="s">
        <v>96</v>
      </c>
      <c r="B68" s="46">
        <f>B19</f>
        <v>336.80635511533728</v>
      </c>
      <c r="C68" s="46">
        <f t="shared" ref="C68:M68" si="6">C19</f>
        <v>478.07454842733273</v>
      </c>
      <c r="D68" s="46">
        <f t="shared" si="6"/>
        <v>525.10048372188942</v>
      </c>
      <c r="E68" s="46">
        <f t="shared" si="6"/>
        <v>692.1</v>
      </c>
      <c r="F68" s="46">
        <f t="shared" si="6"/>
        <v>797.1</v>
      </c>
      <c r="G68" s="46">
        <f t="shared" si="6"/>
        <v>1009.1</v>
      </c>
      <c r="H68" s="46">
        <f t="shared" si="6"/>
        <v>1277.5999999999999</v>
      </c>
      <c r="I68" s="46">
        <f t="shared" si="6"/>
        <v>1574.9</v>
      </c>
      <c r="J68" s="46">
        <f t="shared" si="6"/>
        <v>2242.3000000000002</v>
      </c>
      <c r="K68" s="46">
        <f t="shared" si="6"/>
        <v>3158.7</v>
      </c>
      <c r="L68" s="46">
        <f t="shared" si="6"/>
        <v>3659.5</v>
      </c>
      <c r="M68" s="46">
        <f t="shared" si="6"/>
        <v>3723.6</v>
      </c>
      <c r="N68" s="46">
        <f>N19</f>
        <v>4047.1</v>
      </c>
    </row>
    <row r="69" spans="1:14" x14ac:dyDescent="0.2">
      <c r="A69" s="15" t="s">
        <v>97</v>
      </c>
      <c r="B69" s="46">
        <f>B59</f>
        <v>609.21530754892831</v>
      </c>
      <c r="C69" s="46">
        <f t="shared" ref="C69:M69" si="7">C59</f>
        <v>916.27250000000004</v>
      </c>
      <c r="D69" s="46">
        <f t="shared" si="7"/>
        <v>832.5</v>
      </c>
      <c r="E69" s="46">
        <f t="shared" si="7"/>
        <v>780</v>
      </c>
      <c r="F69" s="46">
        <f t="shared" si="7"/>
        <v>857.4</v>
      </c>
      <c r="G69" s="46">
        <f t="shared" si="7"/>
        <v>953.4</v>
      </c>
      <c r="H69" s="46">
        <f t="shared" si="7"/>
        <v>1037.8</v>
      </c>
      <c r="I69" s="46">
        <f t="shared" si="7"/>
        <v>1110.7</v>
      </c>
      <c r="J69" s="46">
        <f t="shared" si="7"/>
        <v>1195.9000000000001</v>
      </c>
      <c r="K69" s="46">
        <f t="shared" si="7"/>
        <v>1322.2</v>
      </c>
      <c r="L69" s="46">
        <f t="shared" si="7"/>
        <v>1406.3</v>
      </c>
      <c r="M69" s="46">
        <f t="shared" si="7"/>
        <v>1377.8</v>
      </c>
      <c r="N69" s="46">
        <f>N59</f>
        <v>1389.1</v>
      </c>
    </row>
    <row r="70" spans="1:14" x14ac:dyDescent="0.2">
      <c r="A70" s="15" t="s">
        <v>98</v>
      </c>
      <c r="B70" s="46">
        <f>B51</f>
        <v>1203.9146586345382</v>
      </c>
      <c r="C70" s="46">
        <f t="shared" ref="C70:M70" si="8">C51</f>
        <v>1544.4248493975904</v>
      </c>
      <c r="D70" s="46">
        <f t="shared" si="8"/>
        <v>1691.7696285140562</v>
      </c>
      <c r="E70" s="46">
        <f t="shared" si="8"/>
        <v>1789.7</v>
      </c>
      <c r="F70" s="46">
        <f t="shared" si="8"/>
        <v>2110.5</v>
      </c>
      <c r="G70" s="46">
        <f t="shared" si="8"/>
        <v>2425.1999999999998</v>
      </c>
      <c r="H70" s="46">
        <f t="shared" si="8"/>
        <v>2677.3</v>
      </c>
      <c r="I70" s="46">
        <f t="shared" si="8"/>
        <v>2830.9</v>
      </c>
      <c r="J70" s="46">
        <f t="shared" si="8"/>
        <v>3001</v>
      </c>
      <c r="K70" s="46">
        <f t="shared" si="8"/>
        <v>3182.7</v>
      </c>
      <c r="L70" s="46">
        <f t="shared" si="8"/>
        <v>3458.2</v>
      </c>
      <c r="M70" s="46">
        <f t="shared" si="8"/>
        <v>3458</v>
      </c>
      <c r="N70" s="46">
        <f>N51</f>
        <v>3455.6</v>
      </c>
    </row>
    <row r="71" spans="1:14" x14ac:dyDescent="0.2">
      <c r="A71" s="15" t="s">
        <v>99</v>
      </c>
      <c r="B71" s="46">
        <f>B30+B31</f>
        <v>467.10869133003462</v>
      </c>
      <c r="C71" s="46">
        <f t="shared" ref="C71:M71" si="9">C30+C31</f>
        <v>678.28543273067953</v>
      </c>
      <c r="D71" s="46">
        <f t="shared" si="9"/>
        <v>859.71305566922342</v>
      </c>
      <c r="E71" s="46">
        <f t="shared" si="9"/>
        <v>1220.9506977363073</v>
      </c>
      <c r="F71" s="46">
        <f t="shared" si="9"/>
        <v>1407.8000000000002</v>
      </c>
      <c r="G71" s="46">
        <f t="shared" si="9"/>
        <v>1573.5</v>
      </c>
      <c r="H71" s="46">
        <f t="shared" si="9"/>
        <v>1793.5</v>
      </c>
      <c r="I71" s="46">
        <f t="shared" si="9"/>
        <v>2036.1</v>
      </c>
      <c r="J71" s="46">
        <f t="shared" si="9"/>
        <v>2531.1</v>
      </c>
      <c r="K71" s="46">
        <f t="shared" si="9"/>
        <v>3183.4</v>
      </c>
      <c r="L71" s="46">
        <f t="shared" si="9"/>
        <v>3688.8</v>
      </c>
      <c r="M71" s="46">
        <f t="shared" si="9"/>
        <v>3897.5</v>
      </c>
      <c r="N71" s="46">
        <f>N30+N31</f>
        <v>4089.4</v>
      </c>
    </row>
    <row r="72" spans="1:14" x14ac:dyDescent="0.2">
      <c r="A72" s="38" t="s">
        <v>100</v>
      </c>
      <c r="B72" s="46">
        <f>B32</f>
        <v>613.9912272725835</v>
      </c>
      <c r="C72" s="46">
        <f t="shared" ref="C72:M72" si="10">C32</f>
        <v>516.87765957446811</v>
      </c>
      <c r="D72" s="46">
        <f t="shared" si="10"/>
        <v>589.88297872340422</v>
      </c>
      <c r="E72" s="46">
        <f t="shared" si="10"/>
        <v>549</v>
      </c>
      <c r="F72" s="46">
        <f t="shared" si="10"/>
        <v>544.9</v>
      </c>
      <c r="G72" s="46">
        <f t="shared" si="10"/>
        <v>532.1</v>
      </c>
      <c r="H72" s="46">
        <f t="shared" si="10"/>
        <v>511</v>
      </c>
      <c r="I72" s="46">
        <f t="shared" si="10"/>
        <v>508.9</v>
      </c>
      <c r="J72" s="46">
        <f t="shared" si="10"/>
        <v>555.9</v>
      </c>
      <c r="K72" s="46">
        <f t="shared" si="10"/>
        <v>881.5</v>
      </c>
      <c r="L72" s="46">
        <f t="shared" si="10"/>
        <v>750.8</v>
      </c>
      <c r="M72" s="46">
        <f t="shared" si="10"/>
        <v>801.2</v>
      </c>
      <c r="N72" s="46">
        <f>N32</f>
        <v>862.1</v>
      </c>
    </row>
    <row r="73" spans="1:14" x14ac:dyDescent="0.2">
      <c r="A73" s="38" t="s">
        <v>89</v>
      </c>
      <c r="B73" s="46">
        <f>B40</f>
        <v>246.72972661343391</v>
      </c>
      <c r="C73" s="46">
        <f t="shared" ref="C73:M73" si="11">C40</f>
        <v>155.4259719944358</v>
      </c>
      <c r="D73" s="46">
        <f t="shared" si="11"/>
        <v>130.00727560864985</v>
      </c>
      <c r="E73" s="46">
        <f t="shared" si="11"/>
        <v>101.05967405678973</v>
      </c>
      <c r="F73" s="46">
        <f t="shared" si="11"/>
        <v>92.9</v>
      </c>
      <c r="G73" s="46">
        <f t="shared" si="11"/>
        <v>88.1</v>
      </c>
      <c r="H73" s="46">
        <f t="shared" si="11"/>
        <v>75.7</v>
      </c>
      <c r="I73" s="46">
        <f t="shared" si="11"/>
        <v>58.4</v>
      </c>
      <c r="J73" s="46">
        <f t="shared" si="11"/>
        <v>67</v>
      </c>
      <c r="K73" s="46">
        <f t="shared" si="11"/>
        <v>132.6</v>
      </c>
      <c r="L73" s="46">
        <f t="shared" si="11"/>
        <v>184.8</v>
      </c>
      <c r="M73" s="46">
        <f t="shared" si="11"/>
        <v>182.3</v>
      </c>
      <c r="N73" s="46">
        <f>N40</f>
        <v>152.19999999999999</v>
      </c>
    </row>
    <row r="75" spans="1:14" x14ac:dyDescent="0.2">
      <c r="B75" s="46">
        <v>1906</v>
      </c>
      <c r="C75" s="46">
        <v>1926</v>
      </c>
      <c r="D75" s="46">
        <v>1936</v>
      </c>
      <c r="E75" s="46">
        <v>1954</v>
      </c>
      <c r="F75" s="46">
        <v>1962</v>
      </c>
      <c r="G75" s="46">
        <v>1968</v>
      </c>
      <c r="H75" s="46">
        <v>1974</v>
      </c>
      <c r="I75" s="46">
        <v>1980</v>
      </c>
      <c r="J75" s="46">
        <v>1990</v>
      </c>
      <c r="K75" s="46">
        <v>2000</v>
      </c>
      <c r="L75" s="46">
        <v>2008</v>
      </c>
      <c r="M75" s="46">
        <v>2011</v>
      </c>
      <c r="N75" s="15">
        <v>2016</v>
      </c>
    </row>
    <row r="76" spans="1:14" x14ac:dyDescent="0.2">
      <c r="A76" s="15" t="s">
        <v>96</v>
      </c>
      <c r="B76" s="46">
        <f>B68</f>
        <v>336.80635511533728</v>
      </c>
      <c r="C76" s="46">
        <f t="shared" ref="C76:M76" si="12">C68</f>
        <v>478.07454842733273</v>
      </c>
      <c r="D76" s="46">
        <f t="shared" si="12"/>
        <v>525.10048372188942</v>
      </c>
      <c r="E76" s="46">
        <f t="shared" si="12"/>
        <v>692.1</v>
      </c>
      <c r="F76" s="46">
        <f t="shared" si="12"/>
        <v>797.1</v>
      </c>
      <c r="G76" s="46">
        <f t="shared" si="12"/>
        <v>1009.1</v>
      </c>
      <c r="H76" s="46">
        <f t="shared" si="12"/>
        <v>1277.5999999999999</v>
      </c>
      <c r="I76" s="46">
        <f t="shared" si="12"/>
        <v>1574.9</v>
      </c>
      <c r="J76" s="46">
        <f t="shared" si="12"/>
        <v>2242.3000000000002</v>
      </c>
      <c r="K76" s="46">
        <f t="shared" si="12"/>
        <v>3158.7</v>
      </c>
      <c r="L76" s="46">
        <f t="shared" si="12"/>
        <v>3659.5</v>
      </c>
      <c r="M76" s="46">
        <f t="shared" si="12"/>
        <v>3723.6</v>
      </c>
      <c r="N76" s="46">
        <f>N68</f>
        <v>4047.1</v>
      </c>
    </row>
    <row r="77" spans="1:14" x14ac:dyDescent="0.2">
      <c r="A77" s="15" t="s">
        <v>99</v>
      </c>
      <c r="B77" s="46">
        <f>B71</f>
        <v>467.10869133003462</v>
      </c>
      <c r="C77" s="46">
        <f t="shared" ref="C77:M77" si="13">C71</f>
        <v>678.28543273067953</v>
      </c>
      <c r="D77" s="46">
        <f t="shared" si="13"/>
        <v>859.71305566922342</v>
      </c>
      <c r="E77" s="46">
        <f t="shared" si="13"/>
        <v>1220.9506977363073</v>
      </c>
      <c r="F77" s="46">
        <f t="shared" si="13"/>
        <v>1407.8000000000002</v>
      </c>
      <c r="G77" s="46">
        <f t="shared" si="13"/>
        <v>1573.5</v>
      </c>
      <c r="H77" s="46">
        <f t="shared" si="13"/>
        <v>1793.5</v>
      </c>
      <c r="I77" s="46">
        <f t="shared" si="13"/>
        <v>2036.1</v>
      </c>
      <c r="J77" s="46">
        <f t="shared" si="13"/>
        <v>2531.1</v>
      </c>
      <c r="K77" s="46">
        <f t="shared" si="13"/>
        <v>3183.4</v>
      </c>
      <c r="L77" s="46">
        <f t="shared" si="13"/>
        <v>3688.8</v>
      </c>
      <c r="M77" s="46">
        <f t="shared" si="13"/>
        <v>3897.5</v>
      </c>
      <c r="N77" s="46">
        <f>N71</f>
        <v>4089.4</v>
      </c>
    </row>
    <row r="78" spans="1:14" x14ac:dyDescent="0.2">
      <c r="A78" s="15" t="s">
        <v>98</v>
      </c>
      <c r="B78" s="46">
        <f>B70</f>
        <v>1203.9146586345382</v>
      </c>
      <c r="C78" s="46">
        <f t="shared" ref="C78:M78" si="14">C70</f>
        <v>1544.4248493975904</v>
      </c>
      <c r="D78" s="46">
        <f t="shared" si="14"/>
        <v>1691.7696285140562</v>
      </c>
      <c r="E78" s="46">
        <f t="shared" si="14"/>
        <v>1789.7</v>
      </c>
      <c r="F78" s="46">
        <f t="shared" si="14"/>
        <v>2110.5</v>
      </c>
      <c r="G78" s="46">
        <f t="shared" si="14"/>
        <v>2425.1999999999998</v>
      </c>
      <c r="H78" s="46">
        <f t="shared" si="14"/>
        <v>2677.3</v>
      </c>
      <c r="I78" s="46">
        <f t="shared" si="14"/>
        <v>2830.9</v>
      </c>
      <c r="J78" s="46">
        <f t="shared" si="14"/>
        <v>3001</v>
      </c>
      <c r="K78" s="46">
        <f t="shared" si="14"/>
        <v>3182.7</v>
      </c>
      <c r="L78" s="46">
        <f t="shared" si="14"/>
        <v>3458.2</v>
      </c>
      <c r="M78" s="46">
        <f t="shared" si="14"/>
        <v>3458</v>
      </c>
      <c r="N78" s="46">
        <f>N70</f>
        <v>3455.6</v>
      </c>
    </row>
    <row r="79" spans="1:14" x14ac:dyDescent="0.2">
      <c r="A79" s="15" t="s">
        <v>97</v>
      </c>
      <c r="B79" s="46">
        <f>B69</f>
        <v>609.21530754892831</v>
      </c>
      <c r="C79" s="46">
        <f t="shared" ref="C79:M79" si="15">C69</f>
        <v>916.27250000000004</v>
      </c>
      <c r="D79" s="46">
        <f t="shared" si="15"/>
        <v>832.5</v>
      </c>
      <c r="E79" s="46">
        <f t="shared" si="15"/>
        <v>780</v>
      </c>
      <c r="F79" s="46">
        <f t="shared" si="15"/>
        <v>857.4</v>
      </c>
      <c r="G79" s="46">
        <f t="shared" si="15"/>
        <v>953.4</v>
      </c>
      <c r="H79" s="46">
        <f t="shared" si="15"/>
        <v>1037.8</v>
      </c>
      <c r="I79" s="46">
        <f t="shared" si="15"/>
        <v>1110.7</v>
      </c>
      <c r="J79" s="46">
        <f t="shared" si="15"/>
        <v>1195.9000000000001</v>
      </c>
      <c r="K79" s="46">
        <f t="shared" si="15"/>
        <v>1322.2</v>
      </c>
      <c r="L79" s="46">
        <f t="shared" si="15"/>
        <v>1406.3</v>
      </c>
      <c r="M79" s="46">
        <f t="shared" si="15"/>
        <v>1377.8</v>
      </c>
      <c r="N79" s="46">
        <f>N69</f>
        <v>1389.1</v>
      </c>
    </row>
    <row r="80" spans="1:14" x14ac:dyDescent="0.2">
      <c r="A80" s="15" t="s">
        <v>100</v>
      </c>
      <c r="B80" s="46">
        <f>B72</f>
        <v>613.9912272725835</v>
      </c>
      <c r="C80" s="46">
        <f t="shared" ref="C80:M80" si="16">C72</f>
        <v>516.87765957446811</v>
      </c>
      <c r="D80" s="46">
        <f t="shared" si="16"/>
        <v>589.88297872340422</v>
      </c>
      <c r="E80" s="46">
        <f t="shared" si="16"/>
        <v>549</v>
      </c>
      <c r="F80" s="46">
        <f t="shared" si="16"/>
        <v>544.9</v>
      </c>
      <c r="G80" s="46">
        <f t="shared" si="16"/>
        <v>532.1</v>
      </c>
      <c r="H80" s="46">
        <f t="shared" si="16"/>
        <v>511</v>
      </c>
      <c r="I80" s="46">
        <f t="shared" si="16"/>
        <v>508.9</v>
      </c>
      <c r="J80" s="46">
        <f t="shared" si="16"/>
        <v>555.9</v>
      </c>
      <c r="K80" s="46">
        <f t="shared" si="16"/>
        <v>881.5</v>
      </c>
      <c r="L80" s="46">
        <f t="shared" si="16"/>
        <v>750.8</v>
      </c>
      <c r="M80" s="46">
        <f t="shared" si="16"/>
        <v>801.2</v>
      </c>
      <c r="N80" s="46">
        <f>N72</f>
        <v>862.1</v>
      </c>
    </row>
    <row r="81" spans="1:14" x14ac:dyDescent="0.2">
      <c r="A81" s="15" t="s">
        <v>89</v>
      </c>
      <c r="B81" s="46">
        <f>B73</f>
        <v>246.72972661343391</v>
      </c>
      <c r="C81" s="46">
        <f t="shared" ref="C81:M81" si="17">C73</f>
        <v>155.4259719944358</v>
      </c>
      <c r="D81" s="46">
        <f t="shared" si="17"/>
        <v>130.00727560864985</v>
      </c>
      <c r="E81" s="46">
        <f t="shared" si="17"/>
        <v>101.05967405678973</v>
      </c>
      <c r="F81" s="46">
        <f t="shared" si="17"/>
        <v>92.9</v>
      </c>
      <c r="G81" s="46">
        <f t="shared" si="17"/>
        <v>88.1</v>
      </c>
      <c r="H81" s="46">
        <f t="shared" si="17"/>
        <v>75.7</v>
      </c>
      <c r="I81" s="46">
        <f t="shared" si="17"/>
        <v>58.4</v>
      </c>
      <c r="J81" s="46">
        <f t="shared" si="17"/>
        <v>67</v>
      </c>
      <c r="K81" s="46">
        <f t="shared" si="17"/>
        <v>132.6</v>
      </c>
      <c r="L81" s="46">
        <f t="shared" si="17"/>
        <v>184.8</v>
      </c>
      <c r="M81" s="46">
        <f t="shared" si="17"/>
        <v>182.3</v>
      </c>
      <c r="N81" s="46">
        <f>N73</f>
        <v>152.19999999999999</v>
      </c>
    </row>
    <row r="172" spans="1:1" x14ac:dyDescent="0.2">
      <c r="A172" s="16"/>
    </row>
    <row r="198" spans="1:1" x14ac:dyDescent="0.2">
      <c r="A198" s="16"/>
    </row>
    <row r="199" spans="1:1" x14ac:dyDescent="0.2">
      <c r="A199" s="16"/>
    </row>
    <row r="225" spans="1:1" x14ac:dyDescent="0.2">
      <c r="A225" s="16"/>
    </row>
    <row r="253" spans="1:1" x14ac:dyDescent="0.2">
      <c r="A253" s="16"/>
    </row>
    <row r="254" spans="1:1" x14ac:dyDescent="0.2">
      <c r="A254" s="16"/>
    </row>
    <row r="272" spans="1:1" x14ac:dyDescent="0.2">
      <c r="A272" s="16"/>
    </row>
    <row r="280" spans="1:1" x14ac:dyDescent="0.2">
      <c r="A280" s="16"/>
    </row>
    <row r="281" spans="1:1" x14ac:dyDescent="0.2">
      <c r="A281" s="16"/>
    </row>
    <row r="300" spans="1:1" x14ac:dyDescent="0.2">
      <c r="A300" s="16"/>
    </row>
    <row r="308" spans="1:1" x14ac:dyDescent="0.2">
      <c r="A308" s="16"/>
    </row>
    <row r="309" spans="1:1" x14ac:dyDescent="0.2">
      <c r="A309" s="16"/>
    </row>
    <row r="310" spans="1:1" x14ac:dyDescent="0.2">
      <c r="A310" s="15" t="s">
        <v>25</v>
      </c>
    </row>
    <row r="311" spans="1:1" x14ac:dyDescent="0.2">
      <c r="A311" s="15" t="s">
        <v>26</v>
      </c>
    </row>
  </sheetData>
  <phoneticPr fontId="0" type="noConversion"/>
  <pageMargins left="0.78740157499999996" right="0.78740157499999996" top="0.984251969" bottom="0.984251969" header="0.4921259845" footer="0.4921259845"/>
  <pageSetup paperSize="9" orientation="portrait"/>
  <headerFooter alignWithMargins="0"/>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4"/>
  <sheetViews>
    <sheetView workbookViewId="0">
      <pane xSplit="1" ySplit="1" topLeftCell="B2" activePane="bottomRight" state="frozen"/>
      <selection pane="topRight" activeCell="B1" sqref="B1"/>
      <selection pane="bottomLeft" activeCell="A4" sqref="A4"/>
      <selection pane="bottomRight" activeCell="J38" sqref="J38"/>
    </sheetView>
  </sheetViews>
  <sheetFormatPr baseColWidth="10" defaultColWidth="11.42578125" defaultRowHeight="12" x14ac:dyDescent="0.2"/>
  <cols>
    <col min="1" max="16384" width="11.42578125" style="15"/>
  </cols>
  <sheetData>
    <row r="1" spans="1:7" x14ac:dyDescent="0.2">
      <c r="A1" s="15">
        <f t="array" ref="A1:G13">TRANSPOSE('clacul intermédiaire2 graphique'!A75:M81)</f>
        <v>0</v>
      </c>
      <c r="B1" s="15" t="str">
        <v>services rendus aux entreprises</v>
      </c>
      <c r="C1" s="15" t="str">
        <v>Santé et action sociale</v>
      </c>
      <c r="D1" s="15" t="str">
        <v>Commerce</v>
      </c>
      <c r="E1" s="15" t="str">
        <v>Transports</v>
      </c>
      <c r="F1" s="15" t="str">
        <v>Autres activités de services aux ménages</v>
      </c>
      <c r="G1" s="15" t="str">
        <v xml:space="preserve">Activ  ménages : employeurs, produc  biens </v>
      </c>
    </row>
    <row r="2" spans="1:7" x14ac:dyDescent="0.2">
      <c r="A2" s="15">
        <v>1906</v>
      </c>
      <c r="B2" s="15">
        <v>336.80635511533728</v>
      </c>
      <c r="C2" s="15">
        <v>467.10869133003462</v>
      </c>
      <c r="D2" s="15">
        <v>1203.9146586345382</v>
      </c>
      <c r="E2" s="15">
        <v>609.21530754892831</v>
      </c>
      <c r="F2" s="15">
        <v>613.9912272725835</v>
      </c>
      <c r="G2" s="15">
        <v>246.72972661343391</v>
      </c>
    </row>
    <row r="3" spans="1:7" x14ac:dyDescent="0.2">
      <c r="A3" s="15">
        <v>1926</v>
      </c>
      <c r="B3" s="15">
        <v>478.07454842733273</v>
      </c>
      <c r="C3" s="15">
        <v>678.28543273067953</v>
      </c>
      <c r="D3" s="15">
        <v>1544.4248493975904</v>
      </c>
      <c r="E3" s="15">
        <v>916.27250000000004</v>
      </c>
      <c r="F3" s="15">
        <v>516.87765957446811</v>
      </c>
      <c r="G3" s="15">
        <v>155.4259719944358</v>
      </c>
    </row>
    <row r="4" spans="1:7" x14ac:dyDescent="0.2">
      <c r="A4" s="15">
        <v>1936</v>
      </c>
      <c r="B4" s="15">
        <v>525.10048372188942</v>
      </c>
      <c r="C4" s="15">
        <v>859.71305566922342</v>
      </c>
      <c r="D4" s="15">
        <v>1691.7696285140562</v>
      </c>
      <c r="E4" s="15">
        <v>832.5</v>
      </c>
      <c r="F4" s="15">
        <v>589.88297872340422</v>
      </c>
      <c r="G4" s="15">
        <v>130.00727560864985</v>
      </c>
    </row>
    <row r="5" spans="1:7" x14ac:dyDescent="0.2">
      <c r="A5" s="15">
        <v>1954</v>
      </c>
      <c r="B5" s="15">
        <v>692.1</v>
      </c>
      <c r="C5" s="15">
        <v>1220.9506977363073</v>
      </c>
      <c r="D5" s="15">
        <v>1789.7</v>
      </c>
      <c r="E5" s="15">
        <v>780</v>
      </c>
      <c r="F5" s="15">
        <v>549</v>
      </c>
      <c r="G5" s="15">
        <v>101.05967405678973</v>
      </c>
    </row>
    <row r="6" spans="1:7" x14ac:dyDescent="0.2">
      <c r="A6" s="15">
        <v>1962</v>
      </c>
      <c r="B6" s="15">
        <v>797.1</v>
      </c>
      <c r="C6" s="15">
        <v>1407.8000000000002</v>
      </c>
      <c r="D6" s="15">
        <v>2110.5</v>
      </c>
      <c r="E6" s="15">
        <v>857.4</v>
      </c>
      <c r="F6" s="15">
        <v>544.9</v>
      </c>
      <c r="G6" s="15">
        <v>92.9</v>
      </c>
    </row>
    <row r="7" spans="1:7" x14ac:dyDescent="0.2">
      <c r="A7" s="15">
        <v>1968</v>
      </c>
      <c r="B7" s="15">
        <v>1009.1</v>
      </c>
      <c r="C7" s="15">
        <v>1573.5</v>
      </c>
      <c r="D7" s="15">
        <v>2425.1999999999998</v>
      </c>
      <c r="E7" s="15">
        <v>953.4</v>
      </c>
      <c r="F7" s="15">
        <v>532.1</v>
      </c>
      <c r="G7" s="15">
        <v>88.1</v>
      </c>
    </row>
    <row r="8" spans="1:7" x14ac:dyDescent="0.2">
      <c r="A8" s="15">
        <v>1974</v>
      </c>
      <c r="B8" s="15">
        <v>1277.5999999999999</v>
      </c>
      <c r="C8" s="15">
        <v>1793.5</v>
      </c>
      <c r="D8" s="15">
        <v>2677.3</v>
      </c>
      <c r="E8" s="15">
        <v>1037.8</v>
      </c>
      <c r="F8" s="15">
        <v>511</v>
      </c>
      <c r="G8" s="15">
        <v>75.7</v>
      </c>
    </row>
    <row r="9" spans="1:7" x14ac:dyDescent="0.2">
      <c r="A9" s="15">
        <v>1980</v>
      </c>
      <c r="B9" s="15">
        <v>1574.9</v>
      </c>
      <c r="C9" s="15">
        <v>2036.1</v>
      </c>
      <c r="D9" s="15">
        <v>2830.9</v>
      </c>
      <c r="E9" s="15">
        <v>1110.7</v>
      </c>
      <c r="F9" s="15">
        <v>508.9</v>
      </c>
      <c r="G9" s="15">
        <v>58.4</v>
      </c>
    </row>
    <row r="10" spans="1:7" x14ac:dyDescent="0.2">
      <c r="A10" s="15">
        <v>1990</v>
      </c>
      <c r="B10" s="15">
        <v>2242.3000000000002</v>
      </c>
      <c r="C10" s="15">
        <v>2531.1</v>
      </c>
      <c r="D10" s="15">
        <v>3001</v>
      </c>
      <c r="E10" s="15">
        <v>1195.9000000000001</v>
      </c>
      <c r="F10" s="15">
        <v>555.9</v>
      </c>
      <c r="G10" s="15">
        <v>67</v>
      </c>
    </row>
    <row r="11" spans="1:7" x14ac:dyDescent="0.2">
      <c r="A11" s="15">
        <v>2000</v>
      </c>
      <c r="B11" s="15">
        <v>3158.7</v>
      </c>
      <c r="C11" s="15">
        <v>3183.4</v>
      </c>
      <c r="D11" s="15">
        <v>3182.7</v>
      </c>
      <c r="E11" s="15">
        <v>1322.2</v>
      </c>
      <c r="F11" s="15">
        <v>881.5</v>
      </c>
      <c r="G11" s="15">
        <v>132.6</v>
      </c>
    </row>
    <row r="12" spans="1:7" x14ac:dyDescent="0.2">
      <c r="A12" s="15">
        <v>2008</v>
      </c>
      <c r="B12" s="15">
        <v>3659.5</v>
      </c>
      <c r="C12" s="15">
        <v>3688.8</v>
      </c>
      <c r="D12" s="15">
        <v>3458.2</v>
      </c>
      <c r="E12" s="15">
        <v>1406.3</v>
      </c>
      <c r="F12" s="15">
        <v>750.8</v>
      </c>
      <c r="G12" s="15">
        <v>184.8</v>
      </c>
    </row>
    <row r="13" spans="1:7" x14ac:dyDescent="0.2">
      <c r="A13" s="15">
        <v>2011</v>
      </c>
      <c r="B13" s="15">
        <v>3723.6</v>
      </c>
      <c r="C13" s="15">
        <v>3897.5</v>
      </c>
      <c r="D13" s="15">
        <v>3458</v>
      </c>
      <c r="E13" s="15">
        <v>1377.8</v>
      </c>
      <c r="F13" s="15">
        <v>801.2</v>
      </c>
      <c r="G13" s="15">
        <v>182.3</v>
      </c>
    </row>
    <row r="14" spans="1:7" x14ac:dyDescent="0.2">
      <c r="A14" s="15">
        <v>2016</v>
      </c>
      <c r="B14" s="15">
        <f t="array" ref="B14:G14">TRANSPOSE('clacul intermédiaire2 graphique'!N76:N81)</f>
        <v>4047.1</v>
      </c>
      <c r="C14" s="15">
        <v>4089.4</v>
      </c>
      <c r="D14" s="15">
        <v>3455.6</v>
      </c>
      <c r="E14" s="15">
        <v>1389.1</v>
      </c>
      <c r="F14" s="15">
        <v>862.1</v>
      </c>
      <c r="G14" s="15">
        <v>152.19999999999999</v>
      </c>
    </row>
  </sheetData>
  <phoneticPr fontId="0" type="noConversion"/>
  <pageMargins left="0.78740157499999996" right="0.78740157499999996" top="0.984251969" bottom="0.984251969" header="0.4921259845" footer="0.4921259845"/>
  <pageSetup paperSize="9" orientation="portrait"/>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12"/>
  <sheetViews>
    <sheetView workbookViewId="0">
      <pane xSplit="1" ySplit="2" topLeftCell="B70" activePane="bottomRight" state="frozen"/>
      <selection pane="topRight" activeCell="B1" sqref="B1"/>
      <selection pane="bottomLeft" activeCell="A4" sqref="A4"/>
      <selection pane="bottomRight" activeCell="I112" sqref="I112"/>
    </sheetView>
  </sheetViews>
  <sheetFormatPr baseColWidth="10" defaultColWidth="11.42578125" defaultRowHeight="12.75" x14ac:dyDescent="0.2"/>
  <cols>
    <col min="1" max="1" width="10.7109375" customWidth="1"/>
    <col min="2" max="16384" width="11.42578125" style="15"/>
  </cols>
  <sheetData>
    <row r="1" spans="1:9" x14ac:dyDescent="0.2">
      <c r="B1" s="15" t="s">
        <v>96</v>
      </c>
      <c r="C1" s="15" t="s">
        <v>99</v>
      </c>
      <c r="D1" s="15" t="s">
        <v>98</v>
      </c>
      <c r="E1" s="15" t="s">
        <v>97</v>
      </c>
      <c r="F1" s="15" t="s">
        <v>100</v>
      </c>
      <c r="G1" s="15" t="s">
        <v>89</v>
      </c>
    </row>
    <row r="2" spans="1:9" x14ac:dyDescent="0.2">
      <c r="A2">
        <v>1906</v>
      </c>
      <c r="B2" s="15">
        <f>IF(TYPE(VLOOKUP($A2,'calcul intermédiaire3 graphique'!$A$2:$G$13,COLUMN(B$1),FALSE))=16,"",VLOOKUP($A2,'calcul intermédiaire3 graphique'!$A$2:$G$13,COLUMN(B$1),FALSE))</f>
        <v>336.80635511533728</v>
      </c>
      <c r="C2" s="15">
        <f>IF(TYPE(VLOOKUP($A2,'calcul intermédiaire3 graphique'!$A$2:$G$13,COLUMN(C$1),FALSE))=16,"",VLOOKUP($A2,'calcul intermédiaire3 graphique'!$A$2:$G$13,COLUMN(C$1),FALSE))</f>
        <v>467.10869133003462</v>
      </c>
      <c r="D2" s="15">
        <f>IF(TYPE(VLOOKUP($A2,'calcul intermédiaire3 graphique'!$A$2:$G$13,COLUMN(D$1),FALSE))=16,"",VLOOKUP($A2,'calcul intermédiaire3 graphique'!$A$2:$G$13,COLUMN(D$1),FALSE))</f>
        <v>1203.9146586345382</v>
      </c>
      <c r="E2" s="15">
        <f>IF(TYPE(VLOOKUP($A2,'calcul intermédiaire3 graphique'!$A$2:$G$13,COLUMN(E$1),FALSE))=16,"",VLOOKUP($A2,'calcul intermédiaire3 graphique'!$A$2:$G$13,COLUMN(E$1),FALSE))</f>
        <v>609.21530754892831</v>
      </c>
      <c r="F2" s="15">
        <f>IF(TYPE(VLOOKUP($A2,'calcul intermédiaire3 graphique'!$A$2:$G$13,COLUMN(F$1),FALSE))=16,"",VLOOKUP($A2,'calcul intermédiaire3 graphique'!$A$2:$G$13,COLUMN(F$1),FALSE))</f>
        <v>613.9912272725835</v>
      </c>
      <c r="G2" s="15">
        <f>IF(TYPE(VLOOKUP($A2,'calcul intermédiaire3 graphique'!$A$2:$G$13,COLUMN(G$1),FALSE))=16,"",VLOOKUP($A2,'calcul intermédiaire3 graphique'!$A$2:$G$13,COLUMN(G$1),FALSE))</f>
        <v>246.72972661343391</v>
      </c>
      <c r="H2" s="15" t="str">
        <f>IF(TYPE(VLOOKUP($A2,'calcul intermédiaire3 graphique'!$A$2:$G$13,COLUMN(H$1),FALSE))=16,"",VLOOKUP($A2,'calcul intermédiaire3 graphique'!$A$2:$G$13,COLUMN(H$1),FALSE))</f>
        <v/>
      </c>
      <c r="I2" s="15" t="str">
        <f>IF(TYPE(VLOOKUP($A2,'calcul intermédiaire3 graphique'!$A$2:$G$13,COLUMN(I$1),FALSE))=16,"",VLOOKUP($A2,'calcul intermédiaire3 graphique'!$A$2:$G$13,COLUMN(I$1),FALSE))</f>
        <v/>
      </c>
    </row>
    <row r="3" spans="1:9" x14ac:dyDescent="0.2">
      <c r="A3">
        <v>1907</v>
      </c>
      <c r="B3" s="15" t="str">
        <f>IF(TYPE(VLOOKUP($A3,'calcul intermédiaire3 graphique'!$A$2:$G$13,COLUMN(B$1),FALSE))=16,"",VLOOKUP($A3,'calcul intermédiaire3 graphique'!$A$2:$G$13,COLUMN(B$1),FALSE))</f>
        <v/>
      </c>
      <c r="C3" s="15" t="str">
        <f>IF(TYPE(VLOOKUP($A3,'calcul intermédiaire3 graphique'!$A$2:$G$13,COLUMN(C$1),FALSE))=16,"",VLOOKUP($A3,'calcul intermédiaire3 graphique'!$A$2:$G$13,COLUMN(C$1),FALSE))</f>
        <v/>
      </c>
      <c r="D3" s="15" t="str">
        <f>IF(TYPE(VLOOKUP($A3,'calcul intermédiaire3 graphique'!$A$2:$G$13,COLUMN(D$1),FALSE))=16,"",VLOOKUP($A3,'calcul intermédiaire3 graphique'!$A$2:$G$13,COLUMN(D$1),FALSE))</f>
        <v/>
      </c>
      <c r="E3" s="15" t="str">
        <f>IF(TYPE(VLOOKUP($A3,'calcul intermédiaire3 graphique'!$A$2:$G$13,COLUMN(E$1),FALSE))=16,"",VLOOKUP($A3,'calcul intermédiaire3 graphique'!$A$2:$G$13,COLUMN(E$1),FALSE))</f>
        <v/>
      </c>
      <c r="F3" s="15" t="str">
        <f>IF(TYPE(VLOOKUP($A3,'calcul intermédiaire3 graphique'!$A$2:$G$13,COLUMN(F$1),FALSE))=16,"",VLOOKUP($A3,'calcul intermédiaire3 graphique'!$A$2:$G$13,COLUMN(F$1),FALSE))</f>
        <v/>
      </c>
      <c r="G3" s="15" t="str">
        <f>IF(TYPE(VLOOKUP($A3,'calcul intermédiaire3 graphique'!$A$2:$G$13,COLUMN(G$1),FALSE))=16,"",VLOOKUP($A3,'calcul intermédiaire3 graphique'!$A$2:$G$13,COLUMN(G$1),FALSE))</f>
        <v/>
      </c>
      <c r="H3" s="15">
        <v>1</v>
      </c>
      <c r="I3" s="15" t="str">
        <f>IF(TYPE(VLOOKUP($A3,'calcul intermédiaire3 graphique'!$A$2:$G$13,COLUMN(I$1),FALSE))=16,"",VLOOKUP($A3,'calcul intermédiaire3 graphique'!$A$2:$G$13,COLUMN(I$1),FALSE))</f>
        <v/>
      </c>
    </row>
    <row r="4" spans="1:9" x14ac:dyDescent="0.2">
      <c r="A4">
        <v>1908</v>
      </c>
      <c r="B4" s="15" t="str">
        <f>IF(TYPE(VLOOKUP($A4,'calcul intermédiaire3 graphique'!$A$2:$G$13,COLUMN(B$1),FALSE))=16,"",VLOOKUP($A4,'calcul intermédiaire3 graphique'!$A$2:$G$13,COLUMN(B$1),FALSE))</f>
        <v/>
      </c>
      <c r="C4" s="15" t="str">
        <f>IF(TYPE(VLOOKUP($A4,'calcul intermédiaire3 graphique'!$A$2:$G$13,COLUMN(C$1),FALSE))=16,"",VLOOKUP($A4,'calcul intermédiaire3 graphique'!$A$2:$G$13,COLUMN(C$1),FALSE))</f>
        <v/>
      </c>
      <c r="D4" s="15" t="str">
        <f>IF(TYPE(VLOOKUP($A4,'calcul intermédiaire3 graphique'!$A$2:$G$13,COLUMN(D$1),FALSE))=16,"",VLOOKUP($A4,'calcul intermédiaire3 graphique'!$A$2:$G$13,COLUMN(D$1),FALSE))</f>
        <v/>
      </c>
      <c r="E4" s="15" t="str">
        <f>IF(TYPE(VLOOKUP($A4,'calcul intermédiaire3 graphique'!$A$2:$G$13,COLUMN(E$1),FALSE))=16,"",VLOOKUP($A4,'calcul intermédiaire3 graphique'!$A$2:$G$13,COLUMN(E$1),FALSE))</f>
        <v/>
      </c>
      <c r="F4" s="15" t="str">
        <f>IF(TYPE(VLOOKUP($A4,'calcul intermédiaire3 graphique'!$A$2:$G$13,COLUMN(F$1),FALSE))=16,"",VLOOKUP($A4,'calcul intermédiaire3 graphique'!$A$2:$G$13,COLUMN(F$1),FALSE))</f>
        <v/>
      </c>
      <c r="G4" s="15" t="str">
        <f>IF(TYPE(VLOOKUP($A4,'calcul intermédiaire3 graphique'!$A$2:$G$13,COLUMN(G$1),FALSE))=16,"",VLOOKUP($A4,'calcul intermédiaire3 graphique'!$A$2:$G$13,COLUMN(G$1),FALSE))</f>
        <v/>
      </c>
      <c r="H4" s="15">
        <v>2</v>
      </c>
      <c r="I4" s="15" t="str">
        <f>IF(TYPE(VLOOKUP($A4,'calcul intermédiaire3 graphique'!$A$2:$G$13,COLUMN(I$1),FALSE))=16,"",VLOOKUP($A4,'calcul intermédiaire3 graphique'!$A$2:$G$13,COLUMN(I$1),FALSE))</f>
        <v/>
      </c>
    </row>
    <row r="5" spans="1:9" x14ac:dyDescent="0.2">
      <c r="A5">
        <v>1909</v>
      </c>
      <c r="B5" s="15" t="str">
        <f>IF(TYPE(VLOOKUP($A5,'calcul intermédiaire3 graphique'!$A$2:$G$13,COLUMN(B$1),FALSE))=16,"",VLOOKUP($A5,'calcul intermédiaire3 graphique'!$A$2:$G$13,COLUMN(B$1),FALSE))</f>
        <v/>
      </c>
      <c r="C5" s="15" t="str">
        <f>IF(TYPE(VLOOKUP($A5,'calcul intermédiaire3 graphique'!$A$2:$G$13,COLUMN(C$1),FALSE))=16,"",VLOOKUP($A5,'calcul intermédiaire3 graphique'!$A$2:$G$13,COLUMN(C$1),FALSE))</f>
        <v/>
      </c>
      <c r="D5" s="15" t="str">
        <f>IF(TYPE(VLOOKUP($A5,'calcul intermédiaire3 graphique'!$A$2:$G$13,COLUMN(D$1),FALSE))=16,"",VLOOKUP($A5,'calcul intermédiaire3 graphique'!$A$2:$G$13,COLUMN(D$1),FALSE))</f>
        <v/>
      </c>
      <c r="E5" s="15" t="str">
        <f>IF(TYPE(VLOOKUP($A5,'calcul intermédiaire3 graphique'!$A$2:$G$13,COLUMN(E$1),FALSE))=16,"",VLOOKUP($A5,'calcul intermédiaire3 graphique'!$A$2:$G$13,COLUMN(E$1),FALSE))</f>
        <v/>
      </c>
      <c r="F5" s="15" t="str">
        <f>IF(TYPE(VLOOKUP($A5,'calcul intermédiaire3 graphique'!$A$2:$G$13,COLUMN(F$1),FALSE))=16,"",VLOOKUP($A5,'calcul intermédiaire3 graphique'!$A$2:$G$13,COLUMN(F$1),FALSE))</f>
        <v/>
      </c>
      <c r="G5" s="15" t="str">
        <f>IF(TYPE(VLOOKUP($A5,'calcul intermédiaire3 graphique'!$A$2:$G$13,COLUMN(G$1),FALSE))=16,"",VLOOKUP($A5,'calcul intermédiaire3 graphique'!$A$2:$G$13,COLUMN(G$1),FALSE))</f>
        <v/>
      </c>
      <c r="H5" s="15">
        <v>3</v>
      </c>
      <c r="I5" s="15" t="str">
        <f>IF(TYPE(VLOOKUP($A5,'calcul intermédiaire3 graphique'!$A$2:$G$13,COLUMN(I$1),FALSE))=16,"",VLOOKUP($A5,'calcul intermédiaire3 graphique'!$A$2:$G$13,COLUMN(I$1),FALSE))</f>
        <v/>
      </c>
    </row>
    <row r="6" spans="1:9" x14ac:dyDescent="0.2">
      <c r="A6">
        <v>1910</v>
      </c>
      <c r="B6" s="15" t="str">
        <f>IF(TYPE(VLOOKUP($A6,'calcul intermédiaire3 graphique'!$A$2:$G$13,COLUMN(B$1),FALSE))=16,"",VLOOKUP($A6,'calcul intermédiaire3 graphique'!$A$2:$G$13,COLUMN(B$1),FALSE))</f>
        <v/>
      </c>
      <c r="C6" s="15" t="str">
        <f>IF(TYPE(VLOOKUP($A6,'calcul intermédiaire3 graphique'!$A$2:$G$13,COLUMN(C$1),FALSE))=16,"",VLOOKUP($A6,'calcul intermédiaire3 graphique'!$A$2:$G$13,COLUMN(C$1),FALSE))</f>
        <v/>
      </c>
      <c r="D6" s="15" t="str">
        <f>IF(TYPE(VLOOKUP($A6,'calcul intermédiaire3 graphique'!$A$2:$G$13,COLUMN(D$1),FALSE))=16,"",VLOOKUP($A6,'calcul intermédiaire3 graphique'!$A$2:$G$13,COLUMN(D$1),FALSE))</f>
        <v/>
      </c>
      <c r="E6" s="15" t="str">
        <f>IF(TYPE(VLOOKUP($A6,'calcul intermédiaire3 graphique'!$A$2:$G$13,COLUMN(E$1),FALSE))=16,"",VLOOKUP($A6,'calcul intermédiaire3 graphique'!$A$2:$G$13,COLUMN(E$1),FALSE))</f>
        <v/>
      </c>
      <c r="F6" s="15" t="str">
        <f>IF(TYPE(VLOOKUP($A6,'calcul intermédiaire3 graphique'!$A$2:$G$13,COLUMN(F$1),FALSE))=16,"",VLOOKUP($A6,'calcul intermédiaire3 graphique'!$A$2:$G$13,COLUMN(F$1),FALSE))</f>
        <v/>
      </c>
      <c r="G6" s="15" t="str">
        <f>IF(TYPE(VLOOKUP($A6,'calcul intermédiaire3 graphique'!$A$2:$G$13,COLUMN(G$1),FALSE))=16,"",VLOOKUP($A6,'calcul intermédiaire3 graphique'!$A$2:$G$13,COLUMN(G$1),FALSE))</f>
        <v/>
      </c>
      <c r="H6" s="15">
        <v>4</v>
      </c>
      <c r="I6" s="15" t="str">
        <f>IF(TYPE(VLOOKUP($A6,'calcul intermédiaire3 graphique'!$A$2:$G$13,COLUMN(I$1),FALSE))=16,"",VLOOKUP($A6,'calcul intermédiaire3 graphique'!$A$2:$G$13,COLUMN(I$1),FALSE))</f>
        <v/>
      </c>
    </row>
    <row r="7" spans="1:9" x14ac:dyDescent="0.2">
      <c r="A7">
        <v>1911</v>
      </c>
      <c r="B7" s="15" t="str">
        <f>IF(TYPE(VLOOKUP($A7,'calcul intermédiaire3 graphique'!$A$2:$G$13,COLUMN(B$1),FALSE))=16,"",VLOOKUP($A7,'calcul intermédiaire3 graphique'!$A$2:$G$13,COLUMN(B$1),FALSE))</f>
        <v/>
      </c>
      <c r="C7" s="15" t="str">
        <f>IF(TYPE(VLOOKUP($A7,'calcul intermédiaire3 graphique'!$A$2:$G$13,COLUMN(C$1),FALSE))=16,"",VLOOKUP($A7,'calcul intermédiaire3 graphique'!$A$2:$G$13,COLUMN(C$1),FALSE))</f>
        <v/>
      </c>
      <c r="D7" s="15" t="str">
        <f>IF(TYPE(VLOOKUP($A7,'calcul intermédiaire3 graphique'!$A$2:$G$13,COLUMN(D$1),FALSE))=16,"",VLOOKUP($A7,'calcul intermédiaire3 graphique'!$A$2:$G$13,COLUMN(D$1),FALSE))</f>
        <v/>
      </c>
      <c r="E7" s="15" t="str">
        <f>IF(TYPE(VLOOKUP($A7,'calcul intermédiaire3 graphique'!$A$2:$G$13,COLUMN(E$1),FALSE))=16,"",VLOOKUP($A7,'calcul intermédiaire3 graphique'!$A$2:$G$13,COLUMN(E$1),FALSE))</f>
        <v/>
      </c>
      <c r="F7" s="15" t="str">
        <f>IF(TYPE(VLOOKUP($A7,'calcul intermédiaire3 graphique'!$A$2:$G$13,COLUMN(F$1),FALSE))=16,"",VLOOKUP($A7,'calcul intermédiaire3 graphique'!$A$2:$G$13,COLUMN(F$1),FALSE))</f>
        <v/>
      </c>
      <c r="G7" s="15" t="str">
        <f>IF(TYPE(VLOOKUP($A7,'calcul intermédiaire3 graphique'!$A$2:$G$13,COLUMN(G$1),FALSE))=16,"",VLOOKUP($A7,'calcul intermédiaire3 graphique'!$A$2:$G$13,COLUMN(G$1),FALSE))</f>
        <v/>
      </c>
      <c r="H7" s="15">
        <v>5</v>
      </c>
      <c r="I7" s="15" t="str">
        <f>IF(TYPE(VLOOKUP($A7,'calcul intermédiaire3 graphique'!$A$2:$G$13,COLUMN(I$1),FALSE))=16,"",VLOOKUP($A7,'calcul intermédiaire3 graphique'!$A$2:$G$13,COLUMN(I$1),FALSE))</f>
        <v/>
      </c>
    </row>
    <row r="8" spans="1:9" x14ac:dyDescent="0.2">
      <c r="A8">
        <v>1912</v>
      </c>
      <c r="B8" s="15" t="str">
        <f>IF(TYPE(VLOOKUP($A8,'calcul intermédiaire3 graphique'!$A$2:$G$13,COLUMN(B$1),FALSE))=16,"",VLOOKUP($A8,'calcul intermédiaire3 graphique'!$A$2:$G$13,COLUMN(B$1),FALSE))</f>
        <v/>
      </c>
      <c r="C8" s="15" t="str">
        <f>IF(TYPE(VLOOKUP($A8,'calcul intermédiaire3 graphique'!$A$2:$G$13,COLUMN(C$1),FALSE))=16,"",VLOOKUP($A8,'calcul intermédiaire3 graphique'!$A$2:$G$13,COLUMN(C$1),FALSE))</f>
        <v/>
      </c>
      <c r="D8" s="15" t="str">
        <f>IF(TYPE(VLOOKUP($A8,'calcul intermédiaire3 graphique'!$A$2:$G$13,COLUMN(D$1),FALSE))=16,"",VLOOKUP($A8,'calcul intermédiaire3 graphique'!$A$2:$G$13,COLUMN(D$1),FALSE))</f>
        <v/>
      </c>
      <c r="E8" s="15" t="str">
        <f>IF(TYPE(VLOOKUP($A8,'calcul intermédiaire3 graphique'!$A$2:$G$13,COLUMN(E$1),FALSE))=16,"",VLOOKUP($A8,'calcul intermédiaire3 graphique'!$A$2:$G$13,COLUMN(E$1),FALSE))</f>
        <v/>
      </c>
      <c r="F8" s="15" t="str">
        <f>IF(TYPE(VLOOKUP($A8,'calcul intermédiaire3 graphique'!$A$2:$G$13,COLUMN(F$1),FALSE))=16,"",VLOOKUP($A8,'calcul intermédiaire3 graphique'!$A$2:$G$13,COLUMN(F$1),FALSE))</f>
        <v/>
      </c>
      <c r="G8" s="15" t="str">
        <f>IF(TYPE(VLOOKUP($A8,'calcul intermédiaire3 graphique'!$A$2:$G$13,COLUMN(G$1),FALSE))=16,"",VLOOKUP($A8,'calcul intermédiaire3 graphique'!$A$2:$G$13,COLUMN(G$1),FALSE))</f>
        <v/>
      </c>
      <c r="H8" s="15">
        <v>6</v>
      </c>
      <c r="I8" s="15" t="str">
        <f>IF(TYPE(VLOOKUP($A8,'calcul intermédiaire3 graphique'!$A$2:$G$13,COLUMN(I$1),FALSE))=16,"",VLOOKUP($A8,'calcul intermédiaire3 graphique'!$A$2:$G$13,COLUMN(I$1),FALSE))</f>
        <v/>
      </c>
    </row>
    <row r="9" spans="1:9" x14ac:dyDescent="0.2">
      <c r="A9">
        <v>1913</v>
      </c>
      <c r="B9" s="15" t="str">
        <f>IF(TYPE(VLOOKUP($A9,'calcul intermédiaire3 graphique'!$A$2:$G$13,COLUMN(B$1),FALSE))=16,"",VLOOKUP($A9,'calcul intermédiaire3 graphique'!$A$2:$G$13,COLUMN(B$1),FALSE))</f>
        <v/>
      </c>
      <c r="C9" s="15" t="str">
        <f>IF(TYPE(VLOOKUP($A9,'calcul intermédiaire3 graphique'!$A$2:$G$13,COLUMN(C$1),FALSE))=16,"",VLOOKUP($A9,'calcul intermédiaire3 graphique'!$A$2:$G$13,COLUMN(C$1),FALSE))</f>
        <v/>
      </c>
      <c r="D9" s="15" t="str">
        <f>IF(TYPE(VLOOKUP($A9,'calcul intermédiaire3 graphique'!$A$2:$G$13,COLUMN(D$1),FALSE))=16,"",VLOOKUP($A9,'calcul intermédiaire3 graphique'!$A$2:$G$13,COLUMN(D$1),FALSE))</f>
        <v/>
      </c>
      <c r="E9" s="15" t="str">
        <f>IF(TYPE(VLOOKUP($A9,'calcul intermédiaire3 graphique'!$A$2:$G$13,COLUMN(E$1),FALSE))=16,"",VLOOKUP($A9,'calcul intermédiaire3 graphique'!$A$2:$G$13,COLUMN(E$1),FALSE))</f>
        <v/>
      </c>
      <c r="F9" s="15" t="str">
        <f>IF(TYPE(VLOOKUP($A9,'calcul intermédiaire3 graphique'!$A$2:$G$13,COLUMN(F$1),FALSE))=16,"",VLOOKUP($A9,'calcul intermédiaire3 graphique'!$A$2:$G$13,COLUMN(F$1),FALSE))</f>
        <v/>
      </c>
      <c r="G9" s="15" t="str">
        <f>IF(TYPE(VLOOKUP($A9,'calcul intermédiaire3 graphique'!$A$2:$G$13,COLUMN(G$1),FALSE))=16,"",VLOOKUP($A9,'calcul intermédiaire3 graphique'!$A$2:$G$13,COLUMN(G$1),FALSE))</f>
        <v/>
      </c>
      <c r="H9" s="15">
        <v>7</v>
      </c>
      <c r="I9" s="15" t="str">
        <f>IF(TYPE(VLOOKUP($A9,'calcul intermédiaire3 graphique'!$A$2:$G$13,COLUMN(I$1),FALSE))=16,"",VLOOKUP($A9,'calcul intermédiaire3 graphique'!$A$2:$G$13,COLUMN(I$1),FALSE))</f>
        <v/>
      </c>
    </row>
    <row r="10" spans="1:9" x14ac:dyDescent="0.2">
      <c r="A10">
        <v>1914</v>
      </c>
      <c r="B10" s="15" t="str">
        <f>IF(TYPE(VLOOKUP($A10,'calcul intermédiaire3 graphique'!$A$2:$G$13,COLUMN(B$1),FALSE))=16,"",VLOOKUP($A10,'calcul intermédiaire3 graphique'!$A$2:$G$13,COLUMN(B$1),FALSE))</f>
        <v/>
      </c>
      <c r="C10" s="15" t="str">
        <f>IF(TYPE(VLOOKUP($A10,'calcul intermédiaire3 graphique'!$A$2:$G$13,COLUMN(C$1),FALSE))=16,"",VLOOKUP($A10,'calcul intermédiaire3 graphique'!$A$2:$G$13,COLUMN(C$1),FALSE))</f>
        <v/>
      </c>
      <c r="D10" s="15" t="str">
        <f>IF(TYPE(VLOOKUP($A10,'calcul intermédiaire3 graphique'!$A$2:$G$13,COLUMN(D$1),FALSE))=16,"",VLOOKUP($A10,'calcul intermédiaire3 graphique'!$A$2:$G$13,COLUMN(D$1),FALSE))</f>
        <v/>
      </c>
      <c r="E10" s="15" t="str">
        <f>IF(TYPE(VLOOKUP($A10,'calcul intermédiaire3 graphique'!$A$2:$G$13,COLUMN(E$1),FALSE))=16,"",VLOOKUP($A10,'calcul intermédiaire3 graphique'!$A$2:$G$13,COLUMN(E$1),FALSE))</f>
        <v/>
      </c>
      <c r="F10" s="15" t="str">
        <f>IF(TYPE(VLOOKUP($A10,'calcul intermédiaire3 graphique'!$A$2:$G$13,COLUMN(F$1),FALSE))=16,"",VLOOKUP($A10,'calcul intermédiaire3 graphique'!$A$2:$G$13,COLUMN(F$1),FALSE))</f>
        <v/>
      </c>
      <c r="G10" s="15" t="str">
        <f>IF(TYPE(VLOOKUP($A10,'calcul intermédiaire3 graphique'!$A$2:$G$13,COLUMN(G$1),FALSE))=16,"",VLOOKUP($A10,'calcul intermédiaire3 graphique'!$A$2:$G$13,COLUMN(G$1),FALSE))</f>
        <v/>
      </c>
      <c r="H10" s="15">
        <v>8</v>
      </c>
      <c r="I10" s="15" t="str">
        <f>IF(TYPE(VLOOKUP($A10,'calcul intermédiaire3 graphique'!$A$2:$G$13,COLUMN(I$1),FALSE))=16,"",VLOOKUP($A10,'calcul intermédiaire3 graphique'!$A$2:$G$13,COLUMN(I$1),FALSE))</f>
        <v/>
      </c>
    </row>
    <row r="11" spans="1:9" x14ac:dyDescent="0.2">
      <c r="A11">
        <v>1915</v>
      </c>
      <c r="B11" s="15" t="str">
        <f>IF(TYPE(VLOOKUP($A11,'calcul intermédiaire3 graphique'!$A$2:$G$13,COLUMN(B$1),FALSE))=16,"",VLOOKUP($A11,'calcul intermédiaire3 graphique'!$A$2:$G$13,COLUMN(B$1),FALSE))</f>
        <v/>
      </c>
      <c r="C11" s="15" t="str">
        <f>IF(TYPE(VLOOKUP($A11,'calcul intermédiaire3 graphique'!$A$2:$G$13,COLUMN(C$1),FALSE))=16,"",VLOOKUP($A11,'calcul intermédiaire3 graphique'!$A$2:$G$13,COLUMN(C$1),FALSE))</f>
        <v/>
      </c>
      <c r="D11" s="15" t="str">
        <f>IF(TYPE(VLOOKUP($A11,'calcul intermédiaire3 graphique'!$A$2:$G$13,COLUMN(D$1),FALSE))=16,"",VLOOKUP($A11,'calcul intermédiaire3 graphique'!$A$2:$G$13,COLUMN(D$1),FALSE))</f>
        <v/>
      </c>
      <c r="E11" s="15" t="str">
        <f>IF(TYPE(VLOOKUP($A11,'calcul intermédiaire3 graphique'!$A$2:$G$13,COLUMN(E$1),FALSE))=16,"",VLOOKUP($A11,'calcul intermédiaire3 graphique'!$A$2:$G$13,COLUMN(E$1),FALSE))</f>
        <v/>
      </c>
      <c r="F11" s="15" t="str">
        <f>IF(TYPE(VLOOKUP($A11,'calcul intermédiaire3 graphique'!$A$2:$G$13,COLUMN(F$1),FALSE))=16,"",VLOOKUP($A11,'calcul intermédiaire3 graphique'!$A$2:$G$13,COLUMN(F$1),FALSE))</f>
        <v/>
      </c>
      <c r="G11" s="15" t="str">
        <f>IF(TYPE(VLOOKUP($A11,'calcul intermédiaire3 graphique'!$A$2:$G$13,COLUMN(G$1),FALSE))=16,"",VLOOKUP($A11,'calcul intermédiaire3 graphique'!$A$2:$G$13,COLUMN(G$1),FALSE))</f>
        <v/>
      </c>
      <c r="H11" s="15">
        <v>9</v>
      </c>
      <c r="I11" s="15" t="str">
        <f>IF(TYPE(VLOOKUP($A11,'calcul intermédiaire3 graphique'!$A$2:$G$13,COLUMN(I$1),FALSE))=16,"",VLOOKUP($A11,'calcul intermédiaire3 graphique'!$A$2:$G$13,COLUMN(I$1),FALSE))</f>
        <v/>
      </c>
    </row>
    <row r="12" spans="1:9" x14ac:dyDescent="0.2">
      <c r="A12">
        <v>1916</v>
      </c>
      <c r="B12" s="15" t="str">
        <f>IF(TYPE(VLOOKUP($A12,'calcul intermédiaire3 graphique'!$A$2:$G$13,COLUMN(B$1),FALSE))=16,"",VLOOKUP($A12,'calcul intermédiaire3 graphique'!$A$2:$G$13,COLUMN(B$1),FALSE))</f>
        <v/>
      </c>
      <c r="C12" s="15" t="str">
        <f>IF(TYPE(VLOOKUP($A12,'calcul intermédiaire3 graphique'!$A$2:$G$13,COLUMN(C$1),FALSE))=16,"",VLOOKUP($A12,'calcul intermédiaire3 graphique'!$A$2:$G$13,COLUMN(C$1),FALSE))</f>
        <v/>
      </c>
      <c r="D12" s="15" t="str">
        <f>IF(TYPE(VLOOKUP($A12,'calcul intermédiaire3 graphique'!$A$2:$G$13,COLUMN(D$1),FALSE))=16,"",VLOOKUP($A12,'calcul intermédiaire3 graphique'!$A$2:$G$13,COLUMN(D$1),FALSE))</f>
        <v/>
      </c>
      <c r="E12" s="15" t="str">
        <f>IF(TYPE(VLOOKUP($A12,'calcul intermédiaire3 graphique'!$A$2:$G$13,COLUMN(E$1),FALSE))=16,"",VLOOKUP($A12,'calcul intermédiaire3 graphique'!$A$2:$G$13,COLUMN(E$1),FALSE))</f>
        <v/>
      </c>
      <c r="F12" s="15" t="str">
        <f>IF(TYPE(VLOOKUP($A12,'calcul intermédiaire3 graphique'!$A$2:$G$13,COLUMN(F$1),FALSE))=16,"",VLOOKUP($A12,'calcul intermédiaire3 graphique'!$A$2:$G$13,COLUMN(F$1),FALSE))</f>
        <v/>
      </c>
      <c r="G12" s="15" t="str">
        <f>IF(TYPE(VLOOKUP($A12,'calcul intermédiaire3 graphique'!$A$2:$G$13,COLUMN(G$1),FALSE))=16,"",VLOOKUP($A12,'calcul intermédiaire3 graphique'!$A$2:$G$13,COLUMN(G$1),FALSE))</f>
        <v/>
      </c>
      <c r="H12" s="15">
        <v>10</v>
      </c>
      <c r="I12" s="15" t="str">
        <f>IF(TYPE(VLOOKUP($A12,'calcul intermédiaire3 graphique'!$A$2:$G$13,COLUMN(I$1),FALSE))=16,"",VLOOKUP($A12,'calcul intermédiaire3 graphique'!$A$2:$G$13,COLUMN(I$1),FALSE))</f>
        <v/>
      </c>
    </row>
    <row r="13" spans="1:9" x14ac:dyDescent="0.2">
      <c r="A13">
        <v>1917</v>
      </c>
      <c r="B13" s="15" t="str">
        <f>IF(TYPE(VLOOKUP($A13,'calcul intermédiaire3 graphique'!$A$2:$G$13,COLUMN(B$1),FALSE))=16,"",VLOOKUP($A13,'calcul intermédiaire3 graphique'!$A$2:$G$13,COLUMN(B$1),FALSE))</f>
        <v/>
      </c>
      <c r="C13" s="15" t="str">
        <f>IF(TYPE(VLOOKUP($A13,'calcul intermédiaire3 graphique'!$A$2:$G$13,COLUMN(C$1),FALSE))=16,"",VLOOKUP($A13,'calcul intermédiaire3 graphique'!$A$2:$G$13,COLUMN(C$1),FALSE))</f>
        <v/>
      </c>
      <c r="D13" s="15" t="str">
        <f>IF(TYPE(VLOOKUP($A13,'calcul intermédiaire3 graphique'!$A$2:$G$13,COLUMN(D$1),FALSE))=16,"",VLOOKUP($A13,'calcul intermédiaire3 graphique'!$A$2:$G$13,COLUMN(D$1),FALSE))</f>
        <v/>
      </c>
      <c r="E13" s="15" t="str">
        <f>IF(TYPE(VLOOKUP($A13,'calcul intermédiaire3 graphique'!$A$2:$G$13,COLUMN(E$1),FALSE))=16,"",VLOOKUP($A13,'calcul intermédiaire3 graphique'!$A$2:$G$13,COLUMN(E$1),FALSE))</f>
        <v/>
      </c>
      <c r="F13" s="15" t="str">
        <f>IF(TYPE(VLOOKUP($A13,'calcul intermédiaire3 graphique'!$A$2:$G$13,COLUMN(F$1),FALSE))=16,"",VLOOKUP($A13,'calcul intermédiaire3 graphique'!$A$2:$G$13,COLUMN(F$1),FALSE))</f>
        <v/>
      </c>
      <c r="G13" s="15" t="str">
        <f>IF(TYPE(VLOOKUP($A13,'calcul intermédiaire3 graphique'!$A$2:$G$13,COLUMN(G$1),FALSE))=16,"",VLOOKUP($A13,'calcul intermédiaire3 graphique'!$A$2:$G$13,COLUMN(G$1),FALSE))</f>
        <v/>
      </c>
      <c r="H13" s="15">
        <v>11</v>
      </c>
      <c r="I13" s="15" t="str">
        <f>IF(TYPE(VLOOKUP($A13,'calcul intermédiaire3 graphique'!$A$2:$G$13,COLUMN(I$1),FALSE))=16,"",VLOOKUP($A13,'calcul intermédiaire3 graphique'!$A$2:$G$13,COLUMN(I$1),FALSE))</f>
        <v/>
      </c>
    </row>
    <row r="14" spans="1:9" x14ac:dyDescent="0.2">
      <c r="A14">
        <v>1918</v>
      </c>
      <c r="B14" s="15" t="str">
        <f>IF(TYPE(VLOOKUP($A14,'calcul intermédiaire3 graphique'!$A$2:$G$13,COLUMN(B$1),FALSE))=16,"",VLOOKUP($A14,'calcul intermédiaire3 graphique'!$A$2:$G$13,COLUMN(B$1),FALSE))</f>
        <v/>
      </c>
      <c r="C14" s="15" t="str">
        <f>IF(TYPE(VLOOKUP($A14,'calcul intermédiaire3 graphique'!$A$2:$G$13,COLUMN(C$1),FALSE))=16,"",VLOOKUP($A14,'calcul intermédiaire3 graphique'!$A$2:$G$13,COLUMN(C$1),FALSE))</f>
        <v/>
      </c>
      <c r="D14" s="15" t="str">
        <f>IF(TYPE(VLOOKUP($A14,'calcul intermédiaire3 graphique'!$A$2:$G$13,COLUMN(D$1),FALSE))=16,"",VLOOKUP($A14,'calcul intermédiaire3 graphique'!$A$2:$G$13,COLUMN(D$1),FALSE))</f>
        <v/>
      </c>
      <c r="E14" s="15" t="str">
        <f>IF(TYPE(VLOOKUP($A14,'calcul intermédiaire3 graphique'!$A$2:$G$13,COLUMN(E$1),FALSE))=16,"",VLOOKUP($A14,'calcul intermédiaire3 graphique'!$A$2:$G$13,COLUMN(E$1),FALSE))</f>
        <v/>
      </c>
      <c r="F14" s="15" t="str">
        <f>IF(TYPE(VLOOKUP($A14,'calcul intermédiaire3 graphique'!$A$2:$G$13,COLUMN(F$1),FALSE))=16,"",VLOOKUP($A14,'calcul intermédiaire3 graphique'!$A$2:$G$13,COLUMN(F$1),FALSE))</f>
        <v/>
      </c>
      <c r="G14" s="15" t="str">
        <f>IF(TYPE(VLOOKUP($A14,'calcul intermédiaire3 graphique'!$A$2:$G$13,COLUMN(G$1),FALSE))=16,"",VLOOKUP($A14,'calcul intermédiaire3 graphique'!$A$2:$G$13,COLUMN(G$1),FALSE))</f>
        <v/>
      </c>
      <c r="H14" s="15">
        <v>12</v>
      </c>
      <c r="I14" s="15" t="str">
        <f>IF(TYPE(VLOOKUP($A14,'calcul intermédiaire3 graphique'!$A$2:$G$13,COLUMN(I$1),FALSE))=16,"",VLOOKUP($A14,'calcul intermédiaire3 graphique'!$A$2:$G$13,COLUMN(I$1),FALSE))</f>
        <v/>
      </c>
    </row>
    <row r="15" spans="1:9" x14ac:dyDescent="0.2">
      <c r="A15">
        <v>1919</v>
      </c>
      <c r="B15" s="15" t="str">
        <f>IF(TYPE(VLOOKUP($A15,'calcul intermédiaire3 graphique'!$A$2:$G$13,COLUMN(B$1),FALSE))=16,"",VLOOKUP($A15,'calcul intermédiaire3 graphique'!$A$2:$G$13,COLUMN(B$1),FALSE))</f>
        <v/>
      </c>
      <c r="C15" s="15" t="str">
        <f>IF(TYPE(VLOOKUP($A15,'calcul intermédiaire3 graphique'!$A$2:$G$13,COLUMN(C$1),FALSE))=16,"",VLOOKUP($A15,'calcul intermédiaire3 graphique'!$A$2:$G$13,COLUMN(C$1),FALSE))</f>
        <v/>
      </c>
      <c r="D15" s="15" t="str">
        <f>IF(TYPE(VLOOKUP($A15,'calcul intermédiaire3 graphique'!$A$2:$G$13,COLUMN(D$1),FALSE))=16,"",VLOOKUP($A15,'calcul intermédiaire3 graphique'!$A$2:$G$13,COLUMN(D$1),FALSE))</f>
        <v/>
      </c>
      <c r="E15" s="15" t="str">
        <f>IF(TYPE(VLOOKUP($A15,'calcul intermédiaire3 graphique'!$A$2:$G$13,COLUMN(E$1),FALSE))=16,"",VLOOKUP($A15,'calcul intermédiaire3 graphique'!$A$2:$G$13,COLUMN(E$1),FALSE))</f>
        <v/>
      </c>
      <c r="F15" s="15" t="str">
        <f>IF(TYPE(VLOOKUP($A15,'calcul intermédiaire3 graphique'!$A$2:$G$13,COLUMN(F$1),FALSE))=16,"",VLOOKUP($A15,'calcul intermédiaire3 graphique'!$A$2:$G$13,COLUMN(F$1),FALSE))</f>
        <v/>
      </c>
      <c r="G15" s="15" t="str">
        <f>IF(TYPE(VLOOKUP($A15,'calcul intermédiaire3 graphique'!$A$2:$G$13,COLUMN(G$1),FALSE))=16,"",VLOOKUP($A15,'calcul intermédiaire3 graphique'!$A$2:$G$13,COLUMN(G$1),FALSE))</f>
        <v/>
      </c>
      <c r="H15" s="15">
        <v>13</v>
      </c>
      <c r="I15" s="15" t="str">
        <f>IF(TYPE(VLOOKUP($A15,'calcul intermédiaire3 graphique'!$A$2:$G$13,COLUMN(I$1),FALSE))=16,"",VLOOKUP($A15,'calcul intermédiaire3 graphique'!$A$2:$G$13,COLUMN(I$1),FALSE))</f>
        <v/>
      </c>
    </row>
    <row r="16" spans="1:9" x14ac:dyDescent="0.2">
      <c r="A16">
        <v>1920</v>
      </c>
      <c r="B16" s="15" t="str">
        <f>IF(TYPE(VLOOKUP($A16,'calcul intermédiaire3 graphique'!$A$2:$G$13,COLUMN(B$1),FALSE))=16,"",VLOOKUP($A16,'calcul intermédiaire3 graphique'!$A$2:$G$13,COLUMN(B$1),FALSE))</f>
        <v/>
      </c>
      <c r="C16" s="15" t="str">
        <f>IF(TYPE(VLOOKUP($A16,'calcul intermédiaire3 graphique'!$A$2:$G$13,COLUMN(C$1),FALSE))=16,"",VLOOKUP($A16,'calcul intermédiaire3 graphique'!$A$2:$G$13,COLUMN(C$1),FALSE))</f>
        <v/>
      </c>
      <c r="D16" s="15" t="str">
        <f>IF(TYPE(VLOOKUP($A16,'calcul intermédiaire3 graphique'!$A$2:$G$13,COLUMN(D$1),FALSE))=16,"",VLOOKUP($A16,'calcul intermédiaire3 graphique'!$A$2:$G$13,COLUMN(D$1),FALSE))</f>
        <v/>
      </c>
      <c r="E16" s="15" t="str">
        <f>IF(TYPE(VLOOKUP($A16,'calcul intermédiaire3 graphique'!$A$2:$G$13,COLUMN(E$1),FALSE))=16,"",VLOOKUP($A16,'calcul intermédiaire3 graphique'!$A$2:$G$13,COLUMN(E$1),FALSE))</f>
        <v/>
      </c>
      <c r="F16" s="15" t="str">
        <f>IF(TYPE(VLOOKUP($A16,'calcul intermédiaire3 graphique'!$A$2:$G$13,COLUMN(F$1),FALSE))=16,"",VLOOKUP($A16,'calcul intermédiaire3 graphique'!$A$2:$G$13,COLUMN(F$1),FALSE))</f>
        <v/>
      </c>
      <c r="G16" s="15" t="str">
        <f>IF(TYPE(VLOOKUP($A16,'calcul intermédiaire3 graphique'!$A$2:$G$13,COLUMN(G$1),FALSE))=16,"",VLOOKUP($A16,'calcul intermédiaire3 graphique'!$A$2:$G$13,COLUMN(G$1),FALSE))</f>
        <v/>
      </c>
      <c r="H16" s="15">
        <v>14</v>
      </c>
      <c r="I16" s="15" t="str">
        <f>IF(TYPE(VLOOKUP($A16,'calcul intermédiaire3 graphique'!$A$2:$G$13,COLUMN(I$1),FALSE))=16,"",VLOOKUP($A16,'calcul intermédiaire3 graphique'!$A$2:$G$13,COLUMN(I$1),FALSE))</f>
        <v/>
      </c>
    </row>
    <row r="17" spans="1:9" x14ac:dyDescent="0.2">
      <c r="A17">
        <v>1921</v>
      </c>
      <c r="B17" s="15" t="str">
        <f>IF(TYPE(VLOOKUP($A17,'calcul intermédiaire3 graphique'!$A$2:$G$13,COLUMN(B$1),FALSE))=16,"",VLOOKUP($A17,'calcul intermédiaire3 graphique'!$A$2:$G$13,COLUMN(B$1),FALSE))</f>
        <v/>
      </c>
      <c r="C17" s="15" t="str">
        <f>IF(TYPE(VLOOKUP($A17,'calcul intermédiaire3 graphique'!$A$2:$G$13,COLUMN(C$1),FALSE))=16,"",VLOOKUP($A17,'calcul intermédiaire3 graphique'!$A$2:$G$13,COLUMN(C$1),FALSE))</f>
        <v/>
      </c>
      <c r="D17" s="15" t="str">
        <f>IF(TYPE(VLOOKUP($A17,'calcul intermédiaire3 graphique'!$A$2:$G$13,COLUMN(D$1),FALSE))=16,"",VLOOKUP($A17,'calcul intermédiaire3 graphique'!$A$2:$G$13,COLUMN(D$1),FALSE))</f>
        <v/>
      </c>
      <c r="E17" s="15" t="str">
        <f>IF(TYPE(VLOOKUP($A17,'calcul intermédiaire3 graphique'!$A$2:$G$13,COLUMN(E$1),FALSE))=16,"",VLOOKUP($A17,'calcul intermédiaire3 graphique'!$A$2:$G$13,COLUMN(E$1),FALSE))</f>
        <v/>
      </c>
      <c r="F17" s="15" t="str">
        <f>IF(TYPE(VLOOKUP($A17,'calcul intermédiaire3 graphique'!$A$2:$G$13,COLUMN(F$1),FALSE))=16,"",VLOOKUP($A17,'calcul intermédiaire3 graphique'!$A$2:$G$13,COLUMN(F$1),FALSE))</f>
        <v/>
      </c>
      <c r="G17" s="15" t="str">
        <f>IF(TYPE(VLOOKUP($A17,'calcul intermédiaire3 graphique'!$A$2:$G$13,COLUMN(G$1),FALSE))=16,"",VLOOKUP($A17,'calcul intermédiaire3 graphique'!$A$2:$G$13,COLUMN(G$1),FALSE))</f>
        <v/>
      </c>
      <c r="H17" s="15">
        <v>15</v>
      </c>
      <c r="I17" s="15" t="str">
        <f>IF(TYPE(VLOOKUP($A17,'calcul intermédiaire3 graphique'!$A$2:$G$13,COLUMN(I$1),FALSE))=16,"",VLOOKUP($A17,'calcul intermédiaire3 graphique'!$A$2:$G$13,COLUMN(I$1),FALSE))</f>
        <v/>
      </c>
    </row>
    <row r="18" spans="1:9" x14ac:dyDescent="0.2">
      <c r="A18">
        <v>1922</v>
      </c>
      <c r="B18" s="15" t="str">
        <f>IF(TYPE(VLOOKUP($A18,'calcul intermédiaire3 graphique'!$A$2:$G$13,COLUMN(B$1),FALSE))=16,"",VLOOKUP($A18,'calcul intermédiaire3 graphique'!$A$2:$G$13,COLUMN(B$1),FALSE))</f>
        <v/>
      </c>
      <c r="C18" s="15" t="str">
        <f>IF(TYPE(VLOOKUP($A18,'calcul intermédiaire3 graphique'!$A$2:$G$13,COLUMN(C$1),FALSE))=16,"",VLOOKUP($A18,'calcul intermédiaire3 graphique'!$A$2:$G$13,COLUMN(C$1),FALSE))</f>
        <v/>
      </c>
      <c r="D18" s="15" t="str">
        <f>IF(TYPE(VLOOKUP($A18,'calcul intermédiaire3 graphique'!$A$2:$G$13,COLUMN(D$1),FALSE))=16,"",VLOOKUP($A18,'calcul intermédiaire3 graphique'!$A$2:$G$13,COLUMN(D$1),FALSE))</f>
        <v/>
      </c>
      <c r="E18" s="15" t="str">
        <f>IF(TYPE(VLOOKUP($A18,'calcul intermédiaire3 graphique'!$A$2:$G$13,COLUMN(E$1),FALSE))=16,"",VLOOKUP($A18,'calcul intermédiaire3 graphique'!$A$2:$G$13,COLUMN(E$1),FALSE))</f>
        <v/>
      </c>
      <c r="F18" s="15" t="str">
        <f>IF(TYPE(VLOOKUP($A18,'calcul intermédiaire3 graphique'!$A$2:$G$13,COLUMN(F$1),FALSE))=16,"",VLOOKUP($A18,'calcul intermédiaire3 graphique'!$A$2:$G$13,COLUMN(F$1),FALSE))</f>
        <v/>
      </c>
      <c r="G18" s="15" t="str">
        <f>IF(TYPE(VLOOKUP($A18,'calcul intermédiaire3 graphique'!$A$2:$G$13,COLUMN(G$1),FALSE))=16,"",VLOOKUP($A18,'calcul intermédiaire3 graphique'!$A$2:$G$13,COLUMN(G$1),FALSE))</f>
        <v/>
      </c>
      <c r="H18" s="15">
        <v>16</v>
      </c>
      <c r="I18" s="15" t="str">
        <f>IF(TYPE(VLOOKUP($A18,'calcul intermédiaire3 graphique'!$A$2:$G$13,COLUMN(I$1),FALSE))=16,"",VLOOKUP($A18,'calcul intermédiaire3 graphique'!$A$2:$G$13,COLUMN(I$1),FALSE))</f>
        <v/>
      </c>
    </row>
    <row r="19" spans="1:9" x14ac:dyDescent="0.2">
      <c r="A19">
        <v>1923</v>
      </c>
      <c r="B19" s="15" t="str">
        <f>IF(TYPE(VLOOKUP($A19,'calcul intermédiaire3 graphique'!$A$2:$G$13,COLUMN(B$1),FALSE))=16,"",VLOOKUP($A19,'calcul intermédiaire3 graphique'!$A$2:$G$13,COLUMN(B$1),FALSE))</f>
        <v/>
      </c>
      <c r="C19" s="15" t="str">
        <f>IF(TYPE(VLOOKUP($A19,'calcul intermédiaire3 graphique'!$A$2:$G$13,COLUMN(C$1),FALSE))=16,"",VLOOKUP($A19,'calcul intermédiaire3 graphique'!$A$2:$G$13,COLUMN(C$1),FALSE))</f>
        <v/>
      </c>
      <c r="D19" s="15" t="str">
        <f>IF(TYPE(VLOOKUP($A19,'calcul intermédiaire3 graphique'!$A$2:$G$13,COLUMN(D$1),FALSE))=16,"",VLOOKUP($A19,'calcul intermédiaire3 graphique'!$A$2:$G$13,COLUMN(D$1),FALSE))</f>
        <v/>
      </c>
      <c r="E19" s="15" t="str">
        <f>IF(TYPE(VLOOKUP($A19,'calcul intermédiaire3 graphique'!$A$2:$G$13,COLUMN(E$1),FALSE))=16,"",VLOOKUP($A19,'calcul intermédiaire3 graphique'!$A$2:$G$13,COLUMN(E$1),FALSE))</f>
        <v/>
      </c>
      <c r="F19" s="15" t="str">
        <f>IF(TYPE(VLOOKUP($A19,'calcul intermédiaire3 graphique'!$A$2:$G$13,COLUMN(F$1),FALSE))=16,"",VLOOKUP($A19,'calcul intermédiaire3 graphique'!$A$2:$G$13,COLUMN(F$1),FALSE))</f>
        <v/>
      </c>
      <c r="G19" s="15" t="str">
        <f>IF(TYPE(VLOOKUP($A19,'calcul intermédiaire3 graphique'!$A$2:$G$13,COLUMN(G$1),FALSE))=16,"",VLOOKUP($A19,'calcul intermédiaire3 graphique'!$A$2:$G$13,COLUMN(G$1),FALSE))</f>
        <v/>
      </c>
      <c r="H19" s="15">
        <v>17</v>
      </c>
      <c r="I19" s="15" t="str">
        <f>IF(TYPE(VLOOKUP($A19,'calcul intermédiaire3 graphique'!$A$2:$G$13,COLUMN(I$1),FALSE))=16,"",VLOOKUP($A19,'calcul intermédiaire3 graphique'!$A$2:$G$13,COLUMN(I$1),FALSE))</f>
        <v/>
      </c>
    </row>
    <row r="20" spans="1:9" x14ac:dyDescent="0.2">
      <c r="A20">
        <v>1924</v>
      </c>
      <c r="B20" s="15" t="str">
        <f>IF(TYPE(VLOOKUP($A20,'calcul intermédiaire3 graphique'!$A$2:$G$13,COLUMN(B$1),FALSE))=16,"",VLOOKUP($A20,'calcul intermédiaire3 graphique'!$A$2:$G$13,COLUMN(B$1),FALSE))</f>
        <v/>
      </c>
      <c r="C20" s="15" t="str">
        <f>IF(TYPE(VLOOKUP($A20,'calcul intermédiaire3 graphique'!$A$2:$G$13,COLUMN(C$1),FALSE))=16,"",VLOOKUP($A20,'calcul intermédiaire3 graphique'!$A$2:$G$13,COLUMN(C$1),FALSE))</f>
        <v/>
      </c>
      <c r="D20" s="15" t="str">
        <f>IF(TYPE(VLOOKUP($A20,'calcul intermédiaire3 graphique'!$A$2:$G$13,COLUMN(D$1),FALSE))=16,"",VLOOKUP($A20,'calcul intermédiaire3 graphique'!$A$2:$G$13,COLUMN(D$1),FALSE))</f>
        <v/>
      </c>
      <c r="E20" s="15" t="str">
        <f>IF(TYPE(VLOOKUP($A20,'calcul intermédiaire3 graphique'!$A$2:$G$13,COLUMN(E$1),FALSE))=16,"",VLOOKUP($A20,'calcul intermédiaire3 graphique'!$A$2:$G$13,COLUMN(E$1),FALSE))</f>
        <v/>
      </c>
      <c r="F20" s="15" t="str">
        <f>IF(TYPE(VLOOKUP($A20,'calcul intermédiaire3 graphique'!$A$2:$G$13,COLUMN(F$1),FALSE))=16,"",VLOOKUP($A20,'calcul intermédiaire3 graphique'!$A$2:$G$13,COLUMN(F$1),FALSE))</f>
        <v/>
      </c>
      <c r="G20" s="15" t="str">
        <f>IF(TYPE(VLOOKUP($A20,'calcul intermédiaire3 graphique'!$A$2:$G$13,COLUMN(G$1),FALSE))=16,"",VLOOKUP($A20,'calcul intermédiaire3 graphique'!$A$2:$G$13,COLUMN(G$1),FALSE))</f>
        <v/>
      </c>
      <c r="H20" s="15">
        <v>18</v>
      </c>
      <c r="I20" s="15" t="str">
        <f>IF(TYPE(VLOOKUP($A20,'calcul intermédiaire3 graphique'!$A$2:$G$13,COLUMN(I$1),FALSE))=16,"",VLOOKUP($A20,'calcul intermédiaire3 graphique'!$A$2:$G$13,COLUMN(I$1),FALSE))</f>
        <v/>
      </c>
    </row>
    <row r="21" spans="1:9" x14ac:dyDescent="0.2">
      <c r="A21">
        <v>1925</v>
      </c>
      <c r="B21" s="15" t="str">
        <f>IF(TYPE(VLOOKUP($A21,'calcul intermédiaire3 graphique'!$A$2:$G$13,COLUMN(B$1),FALSE))=16,"",VLOOKUP($A21,'calcul intermédiaire3 graphique'!$A$2:$G$13,COLUMN(B$1),FALSE))</f>
        <v/>
      </c>
      <c r="C21" s="15" t="str">
        <f>IF(TYPE(VLOOKUP($A21,'calcul intermédiaire3 graphique'!$A$2:$G$13,COLUMN(C$1),FALSE))=16,"",VLOOKUP($A21,'calcul intermédiaire3 graphique'!$A$2:$G$13,COLUMN(C$1),FALSE))</f>
        <v/>
      </c>
      <c r="D21" s="15" t="str">
        <f>IF(TYPE(VLOOKUP($A21,'calcul intermédiaire3 graphique'!$A$2:$G$13,COLUMN(D$1),FALSE))=16,"",VLOOKUP($A21,'calcul intermédiaire3 graphique'!$A$2:$G$13,COLUMN(D$1),FALSE))</f>
        <v/>
      </c>
      <c r="E21" s="15" t="str">
        <f>IF(TYPE(VLOOKUP($A21,'calcul intermédiaire3 graphique'!$A$2:$G$13,COLUMN(E$1),FALSE))=16,"",VLOOKUP($A21,'calcul intermédiaire3 graphique'!$A$2:$G$13,COLUMN(E$1),FALSE))</f>
        <v/>
      </c>
      <c r="F21" s="15" t="str">
        <f>IF(TYPE(VLOOKUP($A21,'calcul intermédiaire3 graphique'!$A$2:$G$13,COLUMN(F$1),FALSE))=16,"",VLOOKUP($A21,'calcul intermédiaire3 graphique'!$A$2:$G$13,COLUMN(F$1),FALSE))</f>
        <v/>
      </c>
      <c r="G21" s="15" t="str">
        <f>IF(TYPE(VLOOKUP($A21,'calcul intermédiaire3 graphique'!$A$2:$G$13,COLUMN(G$1),FALSE))=16,"",VLOOKUP($A21,'calcul intermédiaire3 graphique'!$A$2:$G$13,COLUMN(G$1),FALSE))</f>
        <v/>
      </c>
      <c r="H21" s="15">
        <v>19</v>
      </c>
      <c r="I21" s="15" t="str">
        <f>IF(TYPE(VLOOKUP($A21,'calcul intermédiaire3 graphique'!$A$2:$G$13,COLUMN(I$1),FALSE))=16,"",VLOOKUP($A21,'calcul intermédiaire3 graphique'!$A$2:$G$13,COLUMN(I$1),FALSE))</f>
        <v/>
      </c>
    </row>
    <row r="22" spans="1:9" x14ac:dyDescent="0.2">
      <c r="A22">
        <v>1926</v>
      </c>
      <c r="B22" s="15">
        <f>IF(TYPE(VLOOKUP($A22,'calcul intermédiaire3 graphique'!$A$2:$G$13,COLUMN(B$1),FALSE))=16,"",VLOOKUP($A22,'calcul intermédiaire3 graphique'!$A$2:$G$13,COLUMN(B$1),FALSE))</f>
        <v>478.07454842733273</v>
      </c>
      <c r="C22" s="15">
        <f>IF(TYPE(VLOOKUP($A22,'calcul intermédiaire3 graphique'!$A$2:$G$13,COLUMN(C$1),FALSE))=16,"",VLOOKUP($A22,'calcul intermédiaire3 graphique'!$A$2:$G$13,COLUMN(C$1),FALSE))</f>
        <v>678.28543273067953</v>
      </c>
      <c r="D22" s="15">
        <f>IF(TYPE(VLOOKUP($A22,'calcul intermédiaire3 graphique'!$A$2:$G$13,COLUMN(D$1),FALSE))=16,"",VLOOKUP($A22,'calcul intermédiaire3 graphique'!$A$2:$G$13,COLUMN(D$1),FALSE))</f>
        <v>1544.4248493975904</v>
      </c>
      <c r="E22" s="15">
        <f>IF(TYPE(VLOOKUP($A22,'calcul intermédiaire3 graphique'!$A$2:$G$13,COLUMN(E$1),FALSE))=16,"",VLOOKUP($A22,'calcul intermédiaire3 graphique'!$A$2:$G$13,COLUMN(E$1),FALSE))</f>
        <v>916.27250000000004</v>
      </c>
      <c r="F22" s="15">
        <f>IF(TYPE(VLOOKUP($A22,'calcul intermédiaire3 graphique'!$A$2:$G$13,COLUMN(F$1),FALSE))=16,"",VLOOKUP($A22,'calcul intermédiaire3 graphique'!$A$2:$G$13,COLUMN(F$1),FALSE))</f>
        <v>516.87765957446811</v>
      </c>
      <c r="G22" s="15">
        <f>IF(TYPE(VLOOKUP($A22,'calcul intermédiaire3 graphique'!$A$2:$G$13,COLUMN(G$1),FALSE))=16,"",VLOOKUP($A22,'calcul intermédiaire3 graphique'!$A$2:$G$13,COLUMN(G$1),FALSE))</f>
        <v>155.4259719944358</v>
      </c>
      <c r="H22" s="15" t="str">
        <f>IF(TYPE(VLOOKUP($A22,'calcul intermédiaire3 graphique'!$A$2:$G$13,COLUMN(H$1),FALSE))=16,"",VLOOKUP($A22,'calcul intermédiaire3 graphique'!$A$2:$G$13,COLUMN(H$1),FALSE))</f>
        <v/>
      </c>
      <c r="I22" s="15" t="str">
        <f>IF(TYPE(VLOOKUP($A22,'calcul intermédiaire3 graphique'!$A$2:$G$13,COLUMN(I$1),FALSE))=16,"",VLOOKUP($A22,'calcul intermédiaire3 graphique'!$A$2:$G$13,COLUMN(I$1),FALSE))</f>
        <v/>
      </c>
    </row>
    <row r="23" spans="1:9" x14ac:dyDescent="0.2">
      <c r="A23">
        <v>1927</v>
      </c>
      <c r="B23" s="15" t="str">
        <f>IF(TYPE(VLOOKUP($A23,'calcul intermédiaire3 graphique'!$A$2:$G$13,COLUMN(B$1),FALSE))=16,"",VLOOKUP($A23,'calcul intermédiaire3 graphique'!$A$2:$G$13,COLUMN(B$1),FALSE))</f>
        <v/>
      </c>
      <c r="C23" s="15" t="str">
        <f>IF(TYPE(VLOOKUP($A23,'calcul intermédiaire3 graphique'!$A$2:$G$13,COLUMN(C$1),FALSE))=16,"",VLOOKUP($A23,'calcul intermédiaire3 graphique'!$A$2:$G$13,COLUMN(C$1),FALSE))</f>
        <v/>
      </c>
      <c r="D23" s="15" t="str">
        <f>IF(TYPE(VLOOKUP($A23,'calcul intermédiaire3 graphique'!$A$2:$G$13,COLUMN(D$1),FALSE))=16,"",VLOOKUP($A23,'calcul intermédiaire3 graphique'!$A$2:$G$13,COLUMN(D$1),FALSE))</f>
        <v/>
      </c>
      <c r="E23" s="15" t="str">
        <f>IF(TYPE(VLOOKUP($A23,'calcul intermédiaire3 graphique'!$A$2:$G$13,COLUMN(E$1),FALSE))=16,"",VLOOKUP($A23,'calcul intermédiaire3 graphique'!$A$2:$G$13,COLUMN(E$1),FALSE))</f>
        <v/>
      </c>
      <c r="F23" s="15" t="str">
        <f>IF(TYPE(VLOOKUP($A23,'calcul intermédiaire3 graphique'!$A$2:$G$13,COLUMN(F$1),FALSE))=16,"",VLOOKUP($A23,'calcul intermédiaire3 graphique'!$A$2:$G$13,COLUMN(F$1),FALSE))</f>
        <v/>
      </c>
      <c r="G23" s="15" t="str">
        <f>IF(TYPE(VLOOKUP($A23,'calcul intermédiaire3 graphique'!$A$2:$G$13,COLUMN(G$1),FALSE))=16,"",VLOOKUP($A23,'calcul intermédiaire3 graphique'!$A$2:$G$13,COLUMN(G$1),FALSE))</f>
        <v/>
      </c>
      <c r="H23" s="15">
        <v>1</v>
      </c>
      <c r="I23" s="15" t="str">
        <f>IF(TYPE(VLOOKUP($A23,'calcul intermédiaire3 graphique'!$A$2:$G$13,COLUMN(I$1),FALSE))=16,"",VLOOKUP($A23,'calcul intermédiaire3 graphique'!$A$2:$G$13,COLUMN(I$1),FALSE))</f>
        <v/>
      </c>
    </row>
    <row r="24" spans="1:9" x14ac:dyDescent="0.2">
      <c r="A24">
        <v>1928</v>
      </c>
      <c r="B24" s="15" t="str">
        <f>IF(TYPE(VLOOKUP($A24,'calcul intermédiaire3 graphique'!$A$2:$G$13,COLUMN(B$1),FALSE))=16,"",VLOOKUP($A24,'calcul intermédiaire3 graphique'!$A$2:$G$13,COLUMN(B$1),FALSE))</f>
        <v/>
      </c>
      <c r="C24" s="15" t="str">
        <f>IF(TYPE(VLOOKUP($A24,'calcul intermédiaire3 graphique'!$A$2:$G$13,COLUMN(C$1),FALSE))=16,"",VLOOKUP($A24,'calcul intermédiaire3 graphique'!$A$2:$G$13,COLUMN(C$1),FALSE))</f>
        <v/>
      </c>
      <c r="D24" s="15" t="str">
        <f>IF(TYPE(VLOOKUP($A24,'calcul intermédiaire3 graphique'!$A$2:$G$13,COLUMN(D$1),FALSE))=16,"",VLOOKUP($A24,'calcul intermédiaire3 graphique'!$A$2:$G$13,COLUMN(D$1),FALSE))</f>
        <v/>
      </c>
      <c r="E24" s="15" t="str">
        <f>IF(TYPE(VLOOKUP($A24,'calcul intermédiaire3 graphique'!$A$2:$G$13,COLUMN(E$1),FALSE))=16,"",VLOOKUP($A24,'calcul intermédiaire3 graphique'!$A$2:$G$13,COLUMN(E$1),FALSE))</f>
        <v/>
      </c>
      <c r="F24" s="15" t="str">
        <f>IF(TYPE(VLOOKUP($A24,'calcul intermédiaire3 graphique'!$A$2:$G$13,COLUMN(F$1),FALSE))=16,"",VLOOKUP($A24,'calcul intermédiaire3 graphique'!$A$2:$G$13,COLUMN(F$1),FALSE))</f>
        <v/>
      </c>
      <c r="G24" s="15" t="str">
        <f>IF(TYPE(VLOOKUP($A24,'calcul intermédiaire3 graphique'!$A$2:$G$13,COLUMN(G$1),FALSE))=16,"",VLOOKUP($A24,'calcul intermédiaire3 graphique'!$A$2:$G$13,COLUMN(G$1),FALSE))</f>
        <v/>
      </c>
      <c r="H24" s="15">
        <v>2</v>
      </c>
      <c r="I24" s="15" t="str">
        <f>IF(TYPE(VLOOKUP($A24,'calcul intermédiaire3 graphique'!$A$2:$G$13,COLUMN(I$1),FALSE))=16,"",VLOOKUP($A24,'calcul intermédiaire3 graphique'!$A$2:$G$13,COLUMN(I$1),FALSE))</f>
        <v/>
      </c>
    </row>
    <row r="25" spans="1:9" x14ac:dyDescent="0.2">
      <c r="A25">
        <v>1929</v>
      </c>
      <c r="B25" s="15" t="str">
        <f>IF(TYPE(VLOOKUP($A25,'calcul intermédiaire3 graphique'!$A$2:$G$13,COLUMN(B$1),FALSE))=16,"",VLOOKUP($A25,'calcul intermédiaire3 graphique'!$A$2:$G$13,COLUMN(B$1),FALSE))</f>
        <v/>
      </c>
      <c r="C25" s="15" t="str">
        <f>IF(TYPE(VLOOKUP($A25,'calcul intermédiaire3 graphique'!$A$2:$G$13,COLUMN(C$1),FALSE))=16,"",VLOOKUP($A25,'calcul intermédiaire3 graphique'!$A$2:$G$13,COLUMN(C$1),FALSE))</f>
        <v/>
      </c>
      <c r="D25" s="15" t="str">
        <f>IF(TYPE(VLOOKUP($A25,'calcul intermédiaire3 graphique'!$A$2:$G$13,COLUMN(D$1),FALSE))=16,"",VLOOKUP($A25,'calcul intermédiaire3 graphique'!$A$2:$G$13,COLUMN(D$1),FALSE))</f>
        <v/>
      </c>
      <c r="E25" s="15" t="str">
        <f>IF(TYPE(VLOOKUP($A25,'calcul intermédiaire3 graphique'!$A$2:$G$13,COLUMN(E$1),FALSE))=16,"",VLOOKUP($A25,'calcul intermédiaire3 graphique'!$A$2:$G$13,COLUMN(E$1),FALSE))</f>
        <v/>
      </c>
      <c r="F25" s="15" t="str">
        <f>IF(TYPE(VLOOKUP($A25,'calcul intermédiaire3 graphique'!$A$2:$G$13,COLUMN(F$1),FALSE))=16,"",VLOOKUP($A25,'calcul intermédiaire3 graphique'!$A$2:$G$13,COLUMN(F$1),FALSE))</f>
        <v/>
      </c>
      <c r="G25" s="15" t="str">
        <f>IF(TYPE(VLOOKUP($A25,'calcul intermédiaire3 graphique'!$A$2:$G$13,COLUMN(G$1),FALSE))=16,"",VLOOKUP($A25,'calcul intermédiaire3 graphique'!$A$2:$G$13,COLUMN(G$1),FALSE))</f>
        <v/>
      </c>
      <c r="H25" s="15">
        <v>3</v>
      </c>
      <c r="I25" s="15" t="str">
        <f>IF(TYPE(VLOOKUP($A25,'calcul intermédiaire3 graphique'!$A$2:$G$13,COLUMN(I$1),FALSE))=16,"",VLOOKUP($A25,'calcul intermédiaire3 graphique'!$A$2:$G$13,COLUMN(I$1),FALSE))</f>
        <v/>
      </c>
    </row>
    <row r="26" spans="1:9" x14ac:dyDescent="0.2">
      <c r="A26">
        <v>1930</v>
      </c>
      <c r="B26" s="15" t="str">
        <f>IF(TYPE(VLOOKUP($A26,'calcul intermédiaire3 graphique'!$A$2:$G$13,COLUMN(B$1),FALSE))=16,"",VLOOKUP($A26,'calcul intermédiaire3 graphique'!$A$2:$G$13,COLUMN(B$1),FALSE))</f>
        <v/>
      </c>
      <c r="C26" s="15" t="str">
        <f>IF(TYPE(VLOOKUP($A26,'calcul intermédiaire3 graphique'!$A$2:$G$13,COLUMN(C$1),FALSE))=16,"",VLOOKUP($A26,'calcul intermédiaire3 graphique'!$A$2:$G$13,COLUMN(C$1),FALSE))</f>
        <v/>
      </c>
      <c r="D26" s="15" t="str">
        <f>IF(TYPE(VLOOKUP($A26,'calcul intermédiaire3 graphique'!$A$2:$G$13,COLUMN(D$1),FALSE))=16,"",VLOOKUP($A26,'calcul intermédiaire3 graphique'!$A$2:$G$13,COLUMN(D$1),FALSE))</f>
        <v/>
      </c>
      <c r="E26" s="15" t="str">
        <f>IF(TYPE(VLOOKUP($A26,'calcul intermédiaire3 graphique'!$A$2:$G$13,COLUMN(E$1),FALSE))=16,"",VLOOKUP($A26,'calcul intermédiaire3 graphique'!$A$2:$G$13,COLUMN(E$1),FALSE))</f>
        <v/>
      </c>
      <c r="F26" s="15" t="str">
        <f>IF(TYPE(VLOOKUP($A26,'calcul intermédiaire3 graphique'!$A$2:$G$13,COLUMN(F$1),FALSE))=16,"",VLOOKUP($A26,'calcul intermédiaire3 graphique'!$A$2:$G$13,COLUMN(F$1),FALSE))</f>
        <v/>
      </c>
      <c r="G26" s="15" t="str">
        <f>IF(TYPE(VLOOKUP($A26,'calcul intermédiaire3 graphique'!$A$2:$G$13,COLUMN(G$1),FALSE))=16,"",VLOOKUP($A26,'calcul intermédiaire3 graphique'!$A$2:$G$13,COLUMN(G$1),FALSE))</f>
        <v/>
      </c>
      <c r="H26" s="15">
        <v>4</v>
      </c>
      <c r="I26" s="15" t="str">
        <f>IF(TYPE(VLOOKUP($A26,'calcul intermédiaire3 graphique'!$A$2:$G$13,COLUMN(I$1),FALSE))=16,"",VLOOKUP($A26,'calcul intermédiaire3 graphique'!$A$2:$G$13,COLUMN(I$1),FALSE))</f>
        <v/>
      </c>
    </row>
    <row r="27" spans="1:9" x14ac:dyDescent="0.2">
      <c r="A27">
        <v>1931</v>
      </c>
      <c r="B27" s="15" t="str">
        <f>IF(TYPE(VLOOKUP($A27,'calcul intermédiaire3 graphique'!$A$2:$G$13,COLUMN(B$1),FALSE))=16,"",VLOOKUP($A27,'calcul intermédiaire3 graphique'!$A$2:$G$13,COLUMN(B$1),FALSE))</f>
        <v/>
      </c>
      <c r="C27" s="15" t="str">
        <f>IF(TYPE(VLOOKUP($A27,'calcul intermédiaire3 graphique'!$A$2:$G$13,COLUMN(C$1),FALSE))=16,"",VLOOKUP($A27,'calcul intermédiaire3 graphique'!$A$2:$G$13,COLUMN(C$1),FALSE))</f>
        <v/>
      </c>
      <c r="D27" s="15" t="str">
        <f>IF(TYPE(VLOOKUP($A27,'calcul intermédiaire3 graphique'!$A$2:$G$13,COLUMN(D$1),FALSE))=16,"",VLOOKUP($A27,'calcul intermédiaire3 graphique'!$A$2:$G$13,COLUMN(D$1),FALSE))</f>
        <v/>
      </c>
      <c r="E27" s="15" t="str">
        <f>IF(TYPE(VLOOKUP($A27,'calcul intermédiaire3 graphique'!$A$2:$G$13,COLUMN(E$1),FALSE))=16,"",VLOOKUP($A27,'calcul intermédiaire3 graphique'!$A$2:$G$13,COLUMN(E$1),FALSE))</f>
        <v/>
      </c>
      <c r="F27" s="15" t="str">
        <f>IF(TYPE(VLOOKUP($A27,'calcul intermédiaire3 graphique'!$A$2:$G$13,COLUMN(F$1),FALSE))=16,"",VLOOKUP($A27,'calcul intermédiaire3 graphique'!$A$2:$G$13,COLUMN(F$1),FALSE))</f>
        <v/>
      </c>
      <c r="G27" s="15" t="str">
        <f>IF(TYPE(VLOOKUP($A27,'calcul intermédiaire3 graphique'!$A$2:$G$13,COLUMN(G$1),FALSE))=16,"",VLOOKUP($A27,'calcul intermédiaire3 graphique'!$A$2:$G$13,COLUMN(G$1),FALSE))</f>
        <v/>
      </c>
      <c r="H27" s="15">
        <v>5</v>
      </c>
      <c r="I27" s="15" t="str">
        <f>IF(TYPE(VLOOKUP($A27,'calcul intermédiaire3 graphique'!$A$2:$G$13,COLUMN(I$1),FALSE))=16,"",VLOOKUP($A27,'calcul intermédiaire3 graphique'!$A$2:$G$13,COLUMN(I$1),FALSE))</f>
        <v/>
      </c>
    </row>
    <row r="28" spans="1:9" x14ac:dyDescent="0.2">
      <c r="A28">
        <v>1932</v>
      </c>
      <c r="B28" s="15" t="str">
        <f>IF(TYPE(VLOOKUP($A28,'calcul intermédiaire3 graphique'!$A$2:$G$13,COLUMN(B$1),FALSE))=16,"",VLOOKUP($A28,'calcul intermédiaire3 graphique'!$A$2:$G$13,COLUMN(B$1),FALSE))</f>
        <v/>
      </c>
      <c r="C28" s="15" t="str">
        <f>IF(TYPE(VLOOKUP($A28,'calcul intermédiaire3 graphique'!$A$2:$G$13,COLUMN(C$1),FALSE))=16,"",VLOOKUP($A28,'calcul intermédiaire3 graphique'!$A$2:$G$13,COLUMN(C$1),FALSE))</f>
        <v/>
      </c>
      <c r="D28" s="15" t="str">
        <f>IF(TYPE(VLOOKUP($A28,'calcul intermédiaire3 graphique'!$A$2:$G$13,COLUMN(D$1),FALSE))=16,"",VLOOKUP($A28,'calcul intermédiaire3 graphique'!$A$2:$G$13,COLUMN(D$1),FALSE))</f>
        <v/>
      </c>
      <c r="E28" s="15" t="str">
        <f>IF(TYPE(VLOOKUP($A28,'calcul intermédiaire3 graphique'!$A$2:$G$13,COLUMN(E$1),FALSE))=16,"",VLOOKUP($A28,'calcul intermédiaire3 graphique'!$A$2:$G$13,COLUMN(E$1),FALSE))</f>
        <v/>
      </c>
      <c r="F28" s="15" t="str">
        <f>IF(TYPE(VLOOKUP($A28,'calcul intermédiaire3 graphique'!$A$2:$G$13,COLUMN(F$1),FALSE))=16,"",VLOOKUP($A28,'calcul intermédiaire3 graphique'!$A$2:$G$13,COLUMN(F$1),FALSE))</f>
        <v/>
      </c>
      <c r="G28" s="15" t="str">
        <f>IF(TYPE(VLOOKUP($A28,'calcul intermédiaire3 graphique'!$A$2:$G$13,COLUMN(G$1),FALSE))=16,"",VLOOKUP($A28,'calcul intermédiaire3 graphique'!$A$2:$G$13,COLUMN(G$1),FALSE))</f>
        <v/>
      </c>
      <c r="H28" s="15">
        <v>6</v>
      </c>
      <c r="I28" s="15" t="str">
        <f>IF(TYPE(VLOOKUP($A28,'calcul intermédiaire3 graphique'!$A$2:$G$13,COLUMN(I$1),FALSE))=16,"",VLOOKUP($A28,'calcul intermédiaire3 graphique'!$A$2:$G$13,COLUMN(I$1),FALSE))</f>
        <v/>
      </c>
    </row>
    <row r="29" spans="1:9" x14ac:dyDescent="0.2">
      <c r="A29">
        <v>1933</v>
      </c>
      <c r="B29" s="15" t="str">
        <f>IF(TYPE(VLOOKUP($A29,'calcul intermédiaire3 graphique'!$A$2:$G$13,COLUMN(B$1),FALSE))=16,"",VLOOKUP($A29,'calcul intermédiaire3 graphique'!$A$2:$G$13,COLUMN(B$1),FALSE))</f>
        <v/>
      </c>
      <c r="C29" s="15" t="str">
        <f>IF(TYPE(VLOOKUP($A29,'calcul intermédiaire3 graphique'!$A$2:$G$13,COLUMN(C$1),FALSE))=16,"",VLOOKUP($A29,'calcul intermédiaire3 graphique'!$A$2:$G$13,COLUMN(C$1),FALSE))</f>
        <v/>
      </c>
      <c r="D29" s="15" t="str">
        <f>IF(TYPE(VLOOKUP($A29,'calcul intermédiaire3 graphique'!$A$2:$G$13,COLUMN(D$1),FALSE))=16,"",VLOOKUP($A29,'calcul intermédiaire3 graphique'!$A$2:$G$13,COLUMN(D$1),FALSE))</f>
        <v/>
      </c>
      <c r="E29" s="15" t="str">
        <f>IF(TYPE(VLOOKUP($A29,'calcul intermédiaire3 graphique'!$A$2:$G$13,COLUMN(E$1),FALSE))=16,"",VLOOKUP($A29,'calcul intermédiaire3 graphique'!$A$2:$G$13,COLUMN(E$1),FALSE))</f>
        <v/>
      </c>
      <c r="F29" s="15" t="str">
        <f>IF(TYPE(VLOOKUP($A29,'calcul intermédiaire3 graphique'!$A$2:$G$13,COLUMN(F$1),FALSE))=16,"",VLOOKUP($A29,'calcul intermédiaire3 graphique'!$A$2:$G$13,COLUMN(F$1),FALSE))</f>
        <v/>
      </c>
      <c r="G29" s="15" t="str">
        <f>IF(TYPE(VLOOKUP($A29,'calcul intermédiaire3 graphique'!$A$2:$G$13,COLUMN(G$1),FALSE))=16,"",VLOOKUP($A29,'calcul intermédiaire3 graphique'!$A$2:$G$13,COLUMN(G$1),FALSE))</f>
        <v/>
      </c>
      <c r="H29" s="15">
        <v>7</v>
      </c>
      <c r="I29" s="15" t="str">
        <f>IF(TYPE(VLOOKUP($A29,'calcul intermédiaire3 graphique'!$A$2:$G$13,COLUMN(I$1),FALSE))=16,"",VLOOKUP($A29,'calcul intermédiaire3 graphique'!$A$2:$G$13,COLUMN(I$1),FALSE))</f>
        <v/>
      </c>
    </row>
    <row r="30" spans="1:9" x14ac:dyDescent="0.2">
      <c r="A30">
        <v>1934</v>
      </c>
      <c r="B30" s="15" t="str">
        <f>IF(TYPE(VLOOKUP($A30,'calcul intermédiaire3 graphique'!$A$2:$G$13,COLUMN(B$1),FALSE))=16,"",VLOOKUP($A30,'calcul intermédiaire3 graphique'!$A$2:$G$13,COLUMN(B$1),FALSE))</f>
        <v/>
      </c>
      <c r="C30" s="15" t="str">
        <f>IF(TYPE(VLOOKUP($A30,'calcul intermédiaire3 graphique'!$A$2:$G$13,COLUMN(C$1),FALSE))=16,"",VLOOKUP($A30,'calcul intermédiaire3 graphique'!$A$2:$G$13,COLUMN(C$1),FALSE))</f>
        <v/>
      </c>
      <c r="D30" s="15" t="str">
        <f>IF(TYPE(VLOOKUP($A30,'calcul intermédiaire3 graphique'!$A$2:$G$13,COLUMN(D$1),FALSE))=16,"",VLOOKUP($A30,'calcul intermédiaire3 graphique'!$A$2:$G$13,COLUMN(D$1),FALSE))</f>
        <v/>
      </c>
      <c r="E30" s="15" t="str">
        <f>IF(TYPE(VLOOKUP($A30,'calcul intermédiaire3 graphique'!$A$2:$G$13,COLUMN(E$1),FALSE))=16,"",VLOOKUP($A30,'calcul intermédiaire3 graphique'!$A$2:$G$13,COLUMN(E$1),FALSE))</f>
        <v/>
      </c>
      <c r="F30" s="15" t="str">
        <f>IF(TYPE(VLOOKUP($A30,'calcul intermédiaire3 graphique'!$A$2:$G$13,COLUMN(F$1),FALSE))=16,"",VLOOKUP($A30,'calcul intermédiaire3 graphique'!$A$2:$G$13,COLUMN(F$1),FALSE))</f>
        <v/>
      </c>
      <c r="G30" s="15" t="str">
        <f>IF(TYPE(VLOOKUP($A30,'calcul intermédiaire3 graphique'!$A$2:$G$13,COLUMN(G$1),FALSE))=16,"",VLOOKUP($A30,'calcul intermédiaire3 graphique'!$A$2:$G$13,COLUMN(G$1),FALSE))</f>
        <v/>
      </c>
      <c r="H30" s="15">
        <v>8</v>
      </c>
      <c r="I30" s="15" t="str">
        <f>IF(TYPE(VLOOKUP($A30,'calcul intermédiaire3 graphique'!$A$2:$G$13,COLUMN(I$1),FALSE))=16,"",VLOOKUP($A30,'calcul intermédiaire3 graphique'!$A$2:$G$13,COLUMN(I$1),FALSE))</f>
        <v/>
      </c>
    </row>
    <row r="31" spans="1:9" x14ac:dyDescent="0.2">
      <c r="A31">
        <v>1935</v>
      </c>
      <c r="B31" s="15" t="str">
        <f>IF(TYPE(VLOOKUP($A31,'calcul intermédiaire3 graphique'!$A$2:$G$13,COLUMN(B$1),FALSE))=16,"",VLOOKUP($A31,'calcul intermédiaire3 graphique'!$A$2:$G$13,COLUMN(B$1),FALSE))</f>
        <v/>
      </c>
      <c r="C31" s="15" t="str">
        <f>IF(TYPE(VLOOKUP($A31,'calcul intermédiaire3 graphique'!$A$2:$G$13,COLUMN(C$1),FALSE))=16,"",VLOOKUP($A31,'calcul intermédiaire3 graphique'!$A$2:$G$13,COLUMN(C$1),FALSE))</f>
        <v/>
      </c>
      <c r="D31" s="15" t="str">
        <f>IF(TYPE(VLOOKUP($A31,'calcul intermédiaire3 graphique'!$A$2:$G$13,COLUMN(D$1),FALSE))=16,"",VLOOKUP($A31,'calcul intermédiaire3 graphique'!$A$2:$G$13,COLUMN(D$1),FALSE))</f>
        <v/>
      </c>
      <c r="E31" s="15" t="str">
        <f>IF(TYPE(VLOOKUP($A31,'calcul intermédiaire3 graphique'!$A$2:$G$13,COLUMN(E$1),FALSE))=16,"",VLOOKUP($A31,'calcul intermédiaire3 graphique'!$A$2:$G$13,COLUMN(E$1),FALSE))</f>
        <v/>
      </c>
      <c r="F31" s="15" t="str">
        <f>IF(TYPE(VLOOKUP($A31,'calcul intermédiaire3 graphique'!$A$2:$G$13,COLUMN(F$1),FALSE))=16,"",VLOOKUP($A31,'calcul intermédiaire3 graphique'!$A$2:$G$13,COLUMN(F$1),FALSE))</f>
        <v/>
      </c>
      <c r="G31" s="15" t="str">
        <f>IF(TYPE(VLOOKUP($A31,'calcul intermédiaire3 graphique'!$A$2:$G$13,COLUMN(G$1),FALSE))=16,"",VLOOKUP($A31,'calcul intermédiaire3 graphique'!$A$2:$G$13,COLUMN(G$1),FALSE))</f>
        <v/>
      </c>
      <c r="H31" s="15">
        <v>9</v>
      </c>
      <c r="I31" s="15" t="str">
        <f>IF(TYPE(VLOOKUP($A31,'calcul intermédiaire3 graphique'!$A$2:$G$13,COLUMN(I$1),FALSE))=16,"",VLOOKUP($A31,'calcul intermédiaire3 graphique'!$A$2:$G$13,COLUMN(I$1),FALSE))</f>
        <v/>
      </c>
    </row>
    <row r="32" spans="1:9" x14ac:dyDescent="0.2">
      <c r="A32">
        <v>1936</v>
      </c>
      <c r="B32" s="15">
        <f>IF(TYPE(VLOOKUP($A32,'calcul intermédiaire3 graphique'!$A$2:$G$13,COLUMN(B$1),FALSE))=16,"",VLOOKUP($A32,'calcul intermédiaire3 graphique'!$A$2:$G$13,COLUMN(B$1),FALSE))</f>
        <v>525.10048372188942</v>
      </c>
      <c r="C32" s="15">
        <f>IF(TYPE(VLOOKUP($A32,'calcul intermédiaire3 graphique'!$A$2:$G$13,COLUMN(C$1),FALSE))=16,"",VLOOKUP($A32,'calcul intermédiaire3 graphique'!$A$2:$G$13,COLUMN(C$1),FALSE))</f>
        <v>859.71305566922342</v>
      </c>
      <c r="D32" s="15">
        <f>IF(TYPE(VLOOKUP($A32,'calcul intermédiaire3 graphique'!$A$2:$G$13,COLUMN(D$1),FALSE))=16,"",VLOOKUP($A32,'calcul intermédiaire3 graphique'!$A$2:$G$13,COLUMN(D$1),FALSE))</f>
        <v>1691.7696285140562</v>
      </c>
      <c r="E32" s="15">
        <f>IF(TYPE(VLOOKUP($A32,'calcul intermédiaire3 graphique'!$A$2:$G$13,COLUMN(E$1),FALSE))=16,"",VLOOKUP($A32,'calcul intermédiaire3 graphique'!$A$2:$G$13,COLUMN(E$1),FALSE))</f>
        <v>832.5</v>
      </c>
      <c r="F32" s="15">
        <f>IF(TYPE(VLOOKUP($A32,'calcul intermédiaire3 graphique'!$A$2:$G$13,COLUMN(F$1),FALSE))=16,"",VLOOKUP($A32,'calcul intermédiaire3 graphique'!$A$2:$G$13,COLUMN(F$1),FALSE))</f>
        <v>589.88297872340422</v>
      </c>
      <c r="G32" s="15">
        <f>IF(TYPE(VLOOKUP($A32,'calcul intermédiaire3 graphique'!$A$2:$G$13,COLUMN(G$1),FALSE))=16,"",VLOOKUP($A32,'calcul intermédiaire3 graphique'!$A$2:$G$13,COLUMN(G$1),FALSE))</f>
        <v>130.00727560864985</v>
      </c>
      <c r="H32" s="15" t="str">
        <f>IF(TYPE(VLOOKUP($A32,'calcul intermédiaire3 graphique'!$A$2:$G$13,COLUMN(H$1),FALSE))=16,"",VLOOKUP($A32,'calcul intermédiaire3 graphique'!$A$2:$G$13,COLUMN(H$1),FALSE))</f>
        <v/>
      </c>
      <c r="I32" s="15" t="str">
        <f>IF(TYPE(VLOOKUP($A32,'calcul intermédiaire3 graphique'!$A$2:$G$13,COLUMN(I$1),FALSE))=16,"",VLOOKUP($A32,'calcul intermédiaire3 graphique'!$A$2:$G$13,COLUMN(I$1),FALSE))</f>
        <v/>
      </c>
    </row>
    <row r="33" spans="1:9" x14ac:dyDescent="0.2">
      <c r="A33">
        <v>1937</v>
      </c>
      <c r="B33" s="15" t="str">
        <f>IF(TYPE(VLOOKUP($A33,'calcul intermédiaire3 graphique'!$A$2:$G$13,COLUMN(B$1),FALSE))=16,"",VLOOKUP($A33,'calcul intermédiaire3 graphique'!$A$2:$G$13,COLUMN(B$1),FALSE))</f>
        <v/>
      </c>
      <c r="C33" s="15" t="str">
        <f>IF(TYPE(VLOOKUP($A33,'calcul intermédiaire3 graphique'!$A$2:$G$13,COLUMN(C$1),FALSE))=16,"",VLOOKUP($A33,'calcul intermédiaire3 graphique'!$A$2:$G$13,COLUMN(C$1),FALSE))</f>
        <v/>
      </c>
      <c r="D33" s="15" t="str">
        <f>IF(TYPE(VLOOKUP($A33,'calcul intermédiaire3 graphique'!$A$2:$G$13,COLUMN(D$1),FALSE))=16,"",VLOOKUP($A33,'calcul intermédiaire3 graphique'!$A$2:$G$13,COLUMN(D$1),FALSE))</f>
        <v/>
      </c>
      <c r="E33" s="15" t="str">
        <f>IF(TYPE(VLOOKUP($A33,'calcul intermédiaire3 graphique'!$A$2:$G$13,COLUMN(E$1),FALSE))=16,"",VLOOKUP($A33,'calcul intermédiaire3 graphique'!$A$2:$G$13,COLUMN(E$1),FALSE))</f>
        <v/>
      </c>
      <c r="F33" s="15" t="str">
        <f>IF(TYPE(VLOOKUP($A33,'calcul intermédiaire3 graphique'!$A$2:$G$13,COLUMN(F$1),FALSE))=16,"",VLOOKUP($A33,'calcul intermédiaire3 graphique'!$A$2:$G$13,COLUMN(F$1),FALSE))</f>
        <v/>
      </c>
      <c r="G33" s="15" t="str">
        <f>IF(TYPE(VLOOKUP($A33,'calcul intermédiaire3 graphique'!$A$2:$G$13,COLUMN(G$1),FALSE))=16,"",VLOOKUP($A33,'calcul intermédiaire3 graphique'!$A$2:$G$13,COLUMN(G$1),FALSE))</f>
        <v/>
      </c>
      <c r="H33" s="15">
        <v>1</v>
      </c>
      <c r="I33" s="15" t="str">
        <f>IF(TYPE(VLOOKUP($A33,'calcul intermédiaire3 graphique'!$A$2:$G$13,COLUMN(I$1),FALSE))=16,"",VLOOKUP($A33,'calcul intermédiaire3 graphique'!$A$2:$G$13,COLUMN(I$1),FALSE))</f>
        <v/>
      </c>
    </row>
    <row r="34" spans="1:9" x14ac:dyDescent="0.2">
      <c r="A34">
        <v>1938</v>
      </c>
      <c r="B34" s="15" t="str">
        <f>IF(TYPE(VLOOKUP($A34,'calcul intermédiaire3 graphique'!$A$2:$G$13,COLUMN(B$1),FALSE))=16,"",VLOOKUP($A34,'calcul intermédiaire3 graphique'!$A$2:$G$13,COLUMN(B$1),FALSE))</f>
        <v/>
      </c>
      <c r="C34" s="15" t="str">
        <f>IF(TYPE(VLOOKUP($A34,'calcul intermédiaire3 graphique'!$A$2:$G$13,COLUMN(C$1),FALSE))=16,"",VLOOKUP($A34,'calcul intermédiaire3 graphique'!$A$2:$G$13,COLUMN(C$1),FALSE))</f>
        <v/>
      </c>
      <c r="D34" s="15" t="str">
        <f>IF(TYPE(VLOOKUP($A34,'calcul intermédiaire3 graphique'!$A$2:$G$13,COLUMN(D$1),FALSE))=16,"",VLOOKUP($A34,'calcul intermédiaire3 graphique'!$A$2:$G$13,COLUMN(D$1),FALSE))</f>
        <v/>
      </c>
      <c r="E34" s="15" t="str">
        <f>IF(TYPE(VLOOKUP($A34,'calcul intermédiaire3 graphique'!$A$2:$G$13,COLUMN(E$1),FALSE))=16,"",VLOOKUP($A34,'calcul intermédiaire3 graphique'!$A$2:$G$13,COLUMN(E$1),FALSE))</f>
        <v/>
      </c>
      <c r="F34" s="15" t="str">
        <f>IF(TYPE(VLOOKUP($A34,'calcul intermédiaire3 graphique'!$A$2:$G$13,COLUMN(F$1),FALSE))=16,"",VLOOKUP($A34,'calcul intermédiaire3 graphique'!$A$2:$G$13,COLUMN(F$1),FALSE))</f>
        <v/>
      </c>
      <c r="G34" s="15" t="str">
        <f>IF(TYPE(VLOOKUP($A34,'calcul intermédiaire3 graphique'!$A$2:$G$13,COLUMN(G$1),FALSE))=16,"",VLOOKUP($A34,'calcul intermédiaire3 graphique'!$A$2:$G$13,COLUMN(G$1),FALSE))</f>
        <v/>
      </c>
      <c r="H34" s="15">
        <v>2</v>
      </c>
      <c r="I34" s="15" t="str">
        <f>IF(TYPE(VLOOKUP($A34,'calcul intermédiaire3 graphique'!$A$2:$G$13,COLUMN(I$1),FALSE))=16,"",VLOOKUP($A34,'calcul intermédiaire3 graphique'!$A$2:$G$13,COLUMN(I$1),FALSE))</f>
        <v/>
      </c>
    </row>
    <row r="35" spans="1:9" x14ac:dyDescent="0.2">
      <c r="A35">
        <v>1939</v>
      </c>
      <c r="B35" s="15" t="str">
        <f>IF(TYPE(VLOOKUP($A35,'calcul intermédiaire3 graphique'!$A$2:$G$13,COLUMN(B$1),FALSE))=16,"",VLOOKUP($A35,'calcul intermédiaire3 graphique'!$A$2:$G$13,COLUMN(B$1),FALSE))</f>
        <v/>
      </c>
      <c r="C35" s="15" t="str">
        <f>IF(TYPE(VLOOKUP($A35,'calcul intermédiaire3 graphique'!$A$2:$G$13,COLUMN(C$1),FALSE))=16,"",VLOOKUP($A35,'calcul intermédiaire3 graphique'!$A$2:$G$13,COLUMN(C$1),FALSE))</f>
        <v/>
      </c>
      <c r="D35" s="15" t="str">
        <f>IF(TYPE(VLOOKUP($A35,'calcul intermédiaire3 graphique'!$A$2:$G$13,COLUMN(D$1),FALSE))=16,"",VLOOKUP($A35,'calcul intermédiaire3 graphique'!$A$2:$G$13,COLUMN(D$1),FALSE))</f>
        <v/>
      </c>
      <c r="E35" s="15" t="str">
        <f>IF(TYPE(VLOOKUP($A35,'calcul intermédiaire3 graphique'!$A$2:$G$13,COLUMN(E$1),FALSE))=16,"",VLOOKUP($A35,'calcul intermédiaire3 graphique'!$A$2:$G$13,COLUMN(E$1),FALSE))</f>
        <v/>
      </c>
      <c r="F35" s="15" t="str">
        <f>IF(TYPE(VLOOKUP($A35,'calcul intermédiaire3 graphique'!$A$2:$G$13,COLUMN(F$1),FALSE))=16,"",VLOOKUP($A35,'calcul intermédiaire3 graphique'!$A$2:$G$13,COLUMN(F$1),FALSE))</f>
        <v/>
      </c>
      <c r="G35" s="15" t="str">
        <f>IF(TYPE(VLOOKUP($A35,'calcul intermédiaire3 graphique'!$A$2:$G$13,COLUMN(G$1),FALSE))=16,"",VLOOKUP($A35,'calcul intermédiaire3 graphique'!$A$2:$G$13,COLUMN(G$1),FALSE))</f>
        <v/>
      </c>
      <c r="H35" s="15">
        <v>3</v>
      </c>
      <c r="I35" s="15" t="str">
        <f>IF(TYPE(VLOOKUP($A35,'calcul intermédiaire3 graphique'!$A$2:$G$13,COLUMN(I$1),FALSE))=16,"",VLOOKUP($A35,'calcul intermédiaire3 graphique'!$A$2:$G$13,COLUMN(I$1),FALSE))</f>
        <v/>
      </c>
    </row>
    <row r="36" spans="1:9" x14ac:dyDescent="0.2">
      <c r="A36">
        <v>1940</v>
      </c>
      <c r="B36" s="15" t="str">
        <f>IF(TYPE(VLOOKUP($A36,'calcul intermédiaire3 graphique'!$A$2:$G$13,COLUMN(B$1),FALSE))=16,"",VLOOKUP($A36,'calcul intermédiaire3 graphique'!$A$2:$G$13,COLUMN(B$1),FALSE))</f>
        <v/>
      </c>
      <c r="C36" s="15" t="str">
        <f>IF(TYPE(VLOOKUP($A36,'calcul intermédiaire3 graphique'!$A$2:$G$13,COLUMN(C$1),FALSE))=16,"",VLOOKUP($A36,'calcul intermédiaire3 graphique'!$A$2:$G$13,COLUMN(C$1),FALSE))</f>
        <v/>
      </c>
      <c r="D36" s="15" t="str">
        <f>IF(TYPE(VLOOKUP($A36,'calcul intermédiaire3 graphique'!$A$2:$G$13,COLUMN(D$1),FALSE))=16,"",VLOOKUP($A36,'calcul intermédiaire3 graphique'!$A$2:$G$13,COLUMN(D$1),FALSE))</f>
        <v/>
      </c>
      <c r="E36" s="15" t="str">
        <f>IF(TYPE(VLOOKUP($A36,'calcul intermédiaire3 graphique'!$A$2:$G$13,COLUMN(E$1),FALSE))=16,"",VLOOKUP($A36,'calcul intermédiaire3 graphique'!$A$2:$G$13,COLUMN(E$1),FALSE))</f>
        <v/>
      </c>
      <c r="F36" s="15" t="str">
        <f>IF(TYPE(VLOOKUP($A36,'calcul intermédiaire3 graphique'!$A$2:$G$13,COLUMN(F$1),FALSE))=16,"",VLOOKUP($A36,'calcul intermédiaire3 graphique'!$A$2:$G$13,COLUMN(F$1),FALSE))</f>
        <v/>
      </c>
      <c r="G36" s="15" t="str">
        <f>IF(TYPE(VLOOKUP($A36,'calcul intermédiaire3 graphique'!$A$2:$G$13,COLUMN(G$1),FALSE))=16,"",VLOOKUP($A36,'calcul intermédiaire3 graphique'!$A$2:$G$13,COLUMN(G$1),FALSE))</f>
        <v/>
      </c>
      <c r="H36" s="15">
        <v>4</v>
      </c>
      <c r="I36" s="15" t="str">
        <f>IF(TYPE(VLOOKUP($A36,'calcul intermédiaire3 graphique'!$A$2:$G$13,COLUMN(I$1),FALSE))=16,"",VLOOKUP($A36,'calcul intermédiaire3 graphique'!$A$2:$G$13,COLUMN(I$1),FALSE))</f>
        <v/>
      </c>
    </row>
    <row r="37" spans="1:9" x14ac:dyDescent="0.2">
      <c r="A37">
        <v>1941</v>
      </c>
      <c r="B37" s="15" t="str">
        <f>IF(TYPE(VLOOKUP($A37,'calcul intermédiaire3 graphique'!$A$2:$G$13,COLUMN(B$1),FALSE))=16,"",VLOOKUP($A37,'calcul intermédiaire3 graphique'!$A$2:$G$13,COLUMN(B$1),FALSE))</f>
        <v/>
      </c>
      <c r="C37" s="15" t="str">
        <f>IF(TYPE(VLOOKUP($A37,'calcul intermédiaire3 graphique'!$A$2:$G$13,COLUMN(C$1),FALSE))=16,"",VLOOKUP($A37,'calcul intermédiaire3 graphique'!$A$2:$G$13,COLUMN(C$1),FALSE))</f>
        <v/>
      </c>
      <c r="D37" s="15" t="str">
        <f>IF(TYPE(VLOOKUP($A37,'calcul intermédiaire3 graphique'!$A$2:$G$13,COLUMN(D$1),FALSE))=16,"",VLOOKUP($A37,'calcul intermédiaire3 graphique'!$A$2:$G$13,COLUMN(D$1),FALSE))</f>
        <v/>
      </c>
      <c r="E37" s="15" t="str">
        <f>IF(TYPE(VLOOKUP($A37,'calcul intermédiaire3 graphique'!$A$2:$G$13,COLUMN(E$1),FALSE))=16,"",VLOOKUP($A37,'calcul intermédiaire3 graphique'!$A$2:$G$13,COLUMN(E$1),FALSE))</f>
        <v/>
      </c>
      <c r="F37" s="15" t="str">
        <f>IF(TYPE(VLOOKUP($A37,'calcul intermédiaire3 graphique'!$A$2:$G$13,COLUMN(F$1),FALSE))=16,"",VLOOKUP($A37,'calcul intermédiaire3 graphique'!$A$2:$G$13,COLUMN(F$1),FALSE))</f>
        <v/>
      </c>
      <c r="G37" s="15" t="str">
        <f>IF(TYPE(VLOOKUP($A37,'calcul intermédiaire3 graphique'!$A$2:$G$13,COLUMN(G$1),FALSE))=16,"",VLOOKUP($A37,'calcul intermédiaire3 graphique'!$A$2:$G$13,COLUMN(G$1),FALSE))</f>
        <v/>
      </c>
      <c r="H37" s="15">
        <v>5</v>
      </c>
      <c r="I37" s="15" t="str">
        <f>IF(TYPE(VLOOKUP($A37,'calcul intermédiaire3 graphique'!$A$2:$G$13,COLUMN(I$1),FALSE))=16,"",VLOOKUP($A37,'calcul intermédiaire3 graphique'!$A$2:$G$13,COLUMN(I$1),FALSE))</f>
        <v/>
      </c>
    </row>
    <row r="38" spans="1:9" x14ac:dyDescent="0.2">
      <c r="A38">
        <v>1942</v>
      </c>
      <c r="B38" s="15" t="str">
        <f>IF(TYPE(VLOOKUP($A38,'calcul intermédiaire3 graphique'!$A$2:$G$13,COLUMN(B$1),FALSE))=16,"",VLOOKUP($A38,'calcul intermédiaire3 graphique'!$A$2:$G$13,COLUMN(B$1),FALSE))</f>
        <v/>
      </c>
      <c r="C38" s="15" t="str">
        <f>IF(TYPE(VLOOKUP($A38,'calcul intermédiaire3 graphique'!$A$2:$G$13,COLUMN(C$1),FALSE))=16,"",VLOOKUP($A38,'calcul intermédiaire3 graphique'!$A$2:$G$13,COLUMN(C$1),FALSE))</f>
        <v/>
      </c>
      <c r="D38" s="15" t="str">
        <f>IF(TYPE(VLOOKUP($A38,'calcul intermédiaire3 graphique'!$A$2:$G$13,COLUMN(D$1),FALSE))=16,"",VLOOKUP($A38,'calcul intermédiaire3 graphique'!$A$2:$G$13,COLUMN(D$1),FALSE))</f>
        <v/>
      </c>
      <c r="E38" s="15" t="str">
        <f>IF(TYPE(VLOOKUP($A38,'calcul intermédiaire3 graphique'!$A$2:$G$13,COLUMN(E$1),FALSE))=16,"",VLOOKUP($A38,'calcul intermédiaire3 graphique'!$A$2:$G$13,COLUMN(E$1),FALSE))</f>
        <v/>
      </c>
      <c r="F38" s="15" t="str">
        <f>IF(TYPE(VLOOKUP($A38,'calcul intermédiaire3 graphique'!$A$2:$G$13,COLUMN(F$1),FALSE))=16,"",VLOOKUP($A38,'calcul intermédiaire3 graphique'!$A$2:$G$13,COLUMN(F$1),FALSE))</f>
        <v/>
      </c>
      <c r="G38" s="15" t="str">
        <f>IF(TYPE(VLOOKUP($A38,'calcul intermédiaire3 graphique'!$A$2:$G$13,COLUMN(G$1),FALSE))=16,"",VLOOKUP($A38,'calcul intermédiaire3 graphique'!$A$2:$G$13,COLUMN(G$1),FALSE))</f>
        <v/>
      </c>
      <c r="H38" s="15">
        <v>6</v>
      </c>
      <c r="I38" s="15" t="str">
        <f>IF(TYPE(VLOOKUP($A38,'calcul intermédiaire3 graphique'!$A$2:$G$13,COLUMN(I$1),FALSE))=16,"",VLOOKUP($A38,'calcul intermédiaire3 graphique'!$A$2:$G$13,COLUMN(I$1),FALSE))</f>
        <v/>
      </c>
    </row>
    <row r="39" spans="1:9" x14ac:dyDescent="0.2">
      <c r="A39">
        <v>1943</v>
      </c>
      <c r="B39" s="15" t="str">
        <f>IF(TYPE(VLOOKUP($A39,'calcul intermédiaire3 graphique'!$A$2:$G$13,COLUMN(B$1),FALSE))=16,"",VLOOKUP($A39,'calcul intermédiaire3 graphique'!$A$2:$G$13,COLUMN(B$1),FALSE))</f>
        <v/>
      </c>
      <c r="C39" s="15" t="str">
        <f>IF(TYPE(VLOOKUP($A39,'calcul intermédiaire3 graphique'!$A$2:$G$13,COLUMN(C$1),FALSE))=16,"",VLOOKUP($A39,'calcul intermédiaire3 graphique'!$A$2:$G$13,COLUMN(C$1),FALSE))</f>
        <v/>
      </c>
      <c r="D39" s="15" t="str">
        <f>IF(TYPE(VLOOKUP($A39,'calcul intermédiaire3 graphique'!$A$2:$G$13,COLUMN(D$1),FALSE))=16,"",VLOOKUP($A39,'calcul intermédiaire3 graphique'!$A$2:$G$13,COLUMN(D$1),FALSE))</f>
        <v/>
      </c>
      <c r="E39" s="15" t="str">
        <f>IF(TYPE(VLOOKUP($A39,'calcul intermédiaire3 graphique'!$A$2:$G$13,COLUMN(E$1),FALSE))=16,"",VLOOKUP($A39,'calcul intermédiaire3 graphique'!$A$2:$G$13,COLUMN(E$1),FALSE))</f>
        <v/>
      </c>
      <c r="F39" s="15" t="str">
        <f>IF(TYPE(VLOOKUP($A39,'calcul intermédiaire3 graphique'!$A$2:$G$13,COLUMN(F$1),FALSE))=16,"",VLOOKUP($A39,'calcul intermédiaire3 graphique'!$A$2:$G$13,COLUMN(F$1),FALSE))</f>
        <v/>
      </c>
      <c r="G39" s="15" t="str">
        <f>IF(TYPE(VLOOKUP($A39,'calcul intermédiaire3 graphique'!$A$2:$G$13,COLUMN(G$1),FALSE))=16,"",VLOOKUP($A39,'calcul intermédiaire3 graphique'!$A$2:$G$13,COLUMN(G$1),FALSE))</f>
        <v/>
      </c>
      <c r="H39" s="15">
        <v>7</v>
      </c>
      <c r="I39" s="15" t="str">
        <f>IF(TYPE(VLOOKUP($A39,'calcul intermédiaire3 graphique'!$A$2:$G$13,COLUMN(I$1),FALSE))=16,"",VLOOKUP($A39,'calcul intermédiaire3 graphique'!$A$2:$G$13,COLUMN(I$1),FALSE))</f>
        <v/>
      </c>
    </row>
    <row r="40" spans="1:9" x14ac:dyDescent="0.2">
      <c r="A40">
        <v>1944</v>
      </c>
      <c r="B40" s="15" t="str">
        <f>IF(TYPE(VLOOKUP($A40,'calcul intermédiaire3 graphique'!$A$2:$G$13,COLUMN(B$1),FALSE))=16,"",VLOOKUP($A40,'calcul intermédiaire3 graphique'!$A$2:$G$13,COLUMN(B$1),FALSE))</f>
        <v/>
      </c>
      <c r="C40" s="15" t="str">
        <f>IF(TYPE(VLOOKUP($A40,'calcul intermédiaire3 graphique'!$A$2:$G$13,COLUMN(C$1),FALSE))=16,"",VLOOKUP($A40,'calcul intermédiaire3 graphique'!$A$2:$G$13,COLUMN(C$1),FALSE))</f>
        <v/>
      </c>
      <c r="D40" s="15" t="str">
        <f>IF(TYPE(VLOOKUP($A40,'calcul intermédiaire3 graphique'!$A$2:$G$13,COLUMN(D$1),FALSE))=16,"",VLOOKUP($A40,'calcul intermédiaire3 graphique'!$A$2:$G$13,COLUMN(D$1),FALSE))</f>
        <v/>
      </c>
      <c r="E40" s="15" t="str">
        <f>IF(TYPE(VLOOKUP($A40,'calcul intermédiaire3 graphique'!$A$2:$G$13,COLUMN(E$1),FALSE))=16,"",VLOOKUP($A40,'calcul intermédiaire3 graphique'!$A$2:$G$13,COLUMN(E$1),FALSE))</f>
        <v/>
      </c>
      <c r="F40" s="15" t="str">
        <f>IF(TYPE(VLOOKUP($A40,'calcul intermédiaire3 graphique'!$A$2:$G$13,COLUMN(F$1),FALSE))=16,"",VLOOKUP($A40,'calcul intermédiaire3 graphique'!$A$2:$G$13,COLUMN(F$1),FALSE))</f>
        <v/>
      </c>
      <c r="G40" s="15" t="str">
        <f>IF(TYPE(VLOOKUP($A40,'calcul intermédiaire3 graphique'!$A$2:$G$13,COLUMN(G$1),FALSE))=16,"",VLOOKUP($A40,'calcul intermédiaire3 graphique'!$A$2:$G$13,COLUMN(G$1),FALSE))</f>
        <v/>
      </c>
      <c r="H40" s="15">
        <v>8</v>
      </c>
      <c r="I40" s="15" t="str">
        <f>IF(TYPE(VLOOKUP($A40,'calcul intermédiaire3 graphique'!$A$2:$G$13,COLUMN(I$1),FALSE))=16,"",VLOOKUP($A40,'calcul intermédiaire3 graphique'!$A$2:$G$13,COLUMN(I$1),FALSE))</f>
        <v/>
      </c>
    </row>
    <row r="41" spans="1:9" x14ac:dyDescent="0.2">
      <c r="A41">
        <v>1945</v>
      </c>
      <c r="B41" s="15" t="str">
        <f>IF(TYPE(VLOOKUP($A41,'calcul intermédiaire3 graphique'!$A$2:$G$13,COLUMN(B$1),FALSE))=16,"",VLOOKUP($A41,'calcul intermédiaire3 graphique'!$A$2:$G$13,COLUMN(B$1),FALSE))</f>
        <v/>
      </c>
      <c r="C41" s="15" t="str">
        <f>IF(TYPE(VLOOKUP($A41,'calcul intermédiaire3 graphique'!$A$2:$G$13,COLUMN(C$1),FALSE))=16,"",VLOOKUP($A41,'calcul intermédiaire3 graphique'!$A$2:$G$13,COLUMN(C$1),FALSE))</f>
        <v/>
      </c>
      <c r="D41" s="15" t="str">
        <f>IF(TYPE(VLOOKUP($A41,'calcul intermédiaire3 graphique'!$A$2:$G$13,COLUMN(D$1),FALSE))=16,"",VLOOKUP($A41,'calcul intermédiaire3 graphique'!$A$2:$G$13,COLUMN(D$1),FALSE))</f>
        <v/>
      </c>
      <c r="E41" s="15" t="str">
        <f>IF(TYPE(VLOOKUP($A41,'calcul intermédiaire3 graphique'!$A$2:$G$13,COLUMN(E$1),FALSE))=16,"",VLOOKUP($A41,'calcul intermédiaire3 graphique'!$A$2:$G$13,COLUMN(E$1),FALSE))</f>
        <v/>
      </c>
      <c r="F41" s="15" t="str">
        <f>IF(TYPE(VLOOKUP($A41,'calcul intermédiaire3 graphique'!$A$2:$G$13,COLUMN(F$1),FALSE))=16,"",VLOOKUP($A41,'calcul intermédiaire3 graphique'!$A$2:$G$13,COLUMN(F$1),FALSE))</f>
        <v/>
      </c>
      <c r="G41" s="15" t="str">
        <f>IF(TYPE(VLOOKUP($A41,'calcul intermédiaire3 graphique'!$A$2:$G$13,COLUMN(G$1),FALSE))=16,"",VLOOKUP($A41,'calcul intermédiaire3 graphique'!$A$2:$G$13,COLUMN(G$1),FALSE))</f>
        <v/>
      </c>
      <c r="H41" s="15">
        <v>9</v>
      </c>
      <c r="I41" s="15" t="str">
        <f>IF(TYPE(VLOOKUP($A41,'calcul intermédiaire3 graphique'!$A$2:$G$13,COLUMN(I$1),FALSE))=16,"",VLOOKUP($A41,'calcul intermédiaire3 graphique'!$A$2:$G$13,COLUMN(I$1),FALSE))</f>
        <v/>
      </c>
    </row>
    <row r="42" spans="1:9" x14ac:dyDescent="0.2">
      <c r="A42">
        <v>1946</v>
      </c>
      <c r="B42" s="15" t="str">
        <f>IF(TYPE(VLOOKUP($A42,'calcul intermédiaire3 graphique'!$A$2:$G$13,COLUMN(B$1),FALSE))=16,"",VLOOKUP($A42,'calcul intermédiaire3 graphique'!$A$2:$G$13,COLUMN(B$1),FALSE))</f>
        <v/>
      </c>
      <c r="C42" s="15" t="str">
        <f>IF(TYPE(VLOOKUP($A42,'calcul intermédiaire3 graphique'!$A$2:$G$13,COLUMN(C$1),FALSE))=16,"",VLOOKUP($A42,'calcul intermédiaire3 graphique'!$A$2:$G$13,COLUMN(C$1),FALSE))</f>
        <v/>
      </c>
      <c r="D42" s="15" t="str">
        <f>IF(TYPE(VLOOKUP($A42,'calcul intermédiaire3 graphique'!$A$2:$G$13,COLUMN(D$1),FALSE))=16,"",VLOOKUP($A42,'calcul intermédiaire3 graphique'!$A$2:$G$13,COLUMN(D$1),FALSE))</f>
        <v/>
      </c>
      <c r="E42" s="15" t="str">
        <f>IF(TYPE(VLOOKUP($A42,'calcul intermédiaire3 graphique'!$A$2:$G$13,COLUMN(E$1),FALSE))=16,"",VLOOKUP($A42,'calcul intermédiaire3 graphique'!$A$2:$G$13,COLUMN(E$1),FALSE))</f>
        <v/>
      </c>
      <c r="F42" s="15" t="str">
        <f>IF(TYPE(VLOOKUP($A42,'calcul intermédiaire3 graphique'!$A$2:$G$13,COLUMN(F$1),FALSE))=16,"",VLOOKUP($A42,'calcul intermédiaire3 graphique'!$A$2:$G$13,COLUMN(F$1),FALSE))</f>
        <v/>
      </c>
      <c r="G42" s="15" t="str">
        <f>IF(TYPE(VLOOKUP($A42,'calcul intermédiaire3 graphique'!$A$2:$G$13,COLUMN(G$1),FALSE))=16,"",VLOOKUP($A42,'calcul intermédiaire3 graphique'!$A$2:$G$13,COLUMN(G$1),FALSE))</f>
        <v/>
      </c>
      <c r="H42" s="15">
        <v>10</v>
      </c>
      <c r="I42" s="15" t="str">
        <f>IF(TYPE(VLOOKUP($A42,'calcul intermédiaire3 graphique'!$A$2:$G$13,COLUMN(I$1),FALSE))=16,"",VLOOKUP($A42,'calcul intermédiaire3 graphique'!$A$2:$G$13,COLUMN(I$1),FALSE))</f>
        <v/>
      </c>
    </row>
    <row r="43" spans="1:9" x14ac:dyDescent="0.2">
      <c r="A43">
        <v>1947</v>
      </c>
      <c r="B43" s="15" t="str">
        <f>IF(TYPE(VLOOKUP($A43,'calcul intermédiaire3 graphique'!$A$2:$G$13,COLUMN(B$1),FALSE))=16,"",VLOOKUP($A43,'calcul intermédiaire3 graphique'!$A$2:$G$13,COLUMN(B$1),FALSE))</f>
        <v/>
      </c>
      <c r="C43" s="15" t="str">
        <f>IF(TYPE(VLOOKUP($A43,'calcul intermédiaire3 graphique'!$A$2:$G$13,COLUMN(C$1),FALSE))=16,"",VLOOKUP($A43,'calcul intermédiaire3 graphique'!$A$2:$G$13,COLUMN(C$1),FALSE))</f>
        <v/>
      </c>
      <c r="D43" s="15" t="str">
        <f>IF(TYPE(VLOOKUP($A43,'calcul intermédiaire3 graphique'!$A$2:$G$13,COLUMN(D$1),FALSE))=16,"",VLOOKUP($A43,'calcul intermédiaire3 graphique'!$A$2:$G$13,COLUMN(D$1),FALSE))</f>
        <v/>
      </c>
      <c r="E43" s="15" t="str">
        <f>IF(TYPE(VLOOKUP($A43,'calcul intermédiaire3 graphique'!$A$2:$G$13,COLUMN(E$1),FALSE))=16,"",VLOOKUP($A43,'calcul intermédiaire3 graphique'!$A$2:$G$13,COLUMN(E$1),FALSE))</f>
        <v/>
      </c>
      <c r="F43" s="15" t="str">
        <f>IF(TYPE(VLOOKUP($A43,'calcul intermédiaire3 graphique'!$A$2:$G$13,COLUMN(F$1),FALSE))=16,"",VLOOKUP($A43,'calcul intermédiaire3 graphique'!$A$2:$G$13,COLUMN(F$1),FALSE))</f>
        <v/>
      </c>
      <c r="G43" s="15" t="str">
        <f>IF(TYPE(VLOOKUP($A43,'calcul intermédiaire3 graphique'!$A$2:$G$13,COLUMN(G$1),FALSE))=16,"",VLOOKUP($A43,'calcul intermédiaire3 graphique'!$A$2:$G$13,COLUMN(G$1),FALSE))</f>
        <v/>
      </c>
      <c r="H43" s="15">
        <v>11</v>
      </c>
      <c r="I43" s="15" t="str">
        <f>IF(TYPE(VLOOKUP($A43,'calcul intermédiaire3 graphique'!$A$2:$G$13,COLUMN(I$1),FALSE))=16,"",VLOOKUP($A43,'calcul intermédiaire3 graphique'!$A$2:$G$13,COLUMN(I$1),FALSE))</f>
        <v/>
      </c>
    </row>
    <row r="44" spans="1:9" x14ac:dyDescent="0.2">
      <c r="A44">
        <v>1948</v>
      </c>
      <c r="B44" s="15" t="str">
        <f>IF(TYPE(VLOOKUP($A44,'calcul intermédiaire3 graphique'!$A$2:$G$13,COLUMN(B$1),FALSE))=16,"",VLOOKUP($A44,'calcul intermédiaire3 graphique'!$A$2:$G$13,COLUMN(B$1),FALSE))</f>
        <v/>
      </c>
      <c r="C44" s="15" t="str">
        <f>IF(TYPE(VLOOKUP($A44,'calcul intermédiaire3 graphique'!$A$2:$G$13,COLUMN(C$1),FALSE))=16,"",VLOOKUP($A44,'calcul intermédiaire3 graphique'!$A$2:$G$13,COLUMN(C$1),FALSE))</f>
        <v/>
      </c>
      <c r="D44" s="15" t="str">
        <f>IF(TYPE(VLOOKUP($A44,'calcul intermédiaire3 graphique'!$A$2:$G$13,COLUMN(D$1),FALSE))=16,"",VLOOKUP($A44,'calcul intermédiaire3 graphique'!$A$2:$G$13,COLUMN(D$1),FALSE))</f>
        <v/>
      </c>
      <c r="E44" s="15" t="str">
        <f>IF(TYPE(VLOOKUP($A44,'calcul intermédiaire3 graphique'!$A$2:$G$13,COLUMN(E$1),FALSE))=16,"",VLOOKUP($A44,'calcul intermédiaire3 graphique'!$A$2:$G$13,COLUMN(E$1),FALSE))</f>
        <v/>
      </c>
      <c r="F44" s="15" t="str">
        <f>IF(TYPE(VLOOKUP($A44,'calcul intermédiaire3 graphique'!$A$2:$G$13,COLUMN(F$1),FALSE))=16,"",VLOOKUP($A44,'calcul intermédiaire3 graphique'!$A$2:$G$13,COLUMN(F$1),FALSE))</f>
        <v/>
      </c>
      <c r="G44" s="15" t="str">
        <f>IF(TYPE(VLOOKUP($A44,'calcul intermédiaire3 graphique'!$A$2:$G$13,COLUMN(G$1),FALSE))=16,"",VLOOKUP($A44,'calcul intermédiaire3 graphique'!$A$2:$G$13,COLUMN(G$1),FALSE))</f>
        <v/>
      </c>
      <c r="H44" s="15">
        <v>12</v>
      </c>
      <c r="I44" s="15" t="str">
        <f>IF(TYPE(VLOOKUP($A44,'calcul intermédiaire3 graphique'!$A$2:$G$13,COLUMN(I$1),FALSE))=16,"",VLOOKUP($A44,'calcul intermédiaire3 graphique'!$A$2:$G$13,COLUMN(I$1),FALSE))</f>
        <v/>
      </c>
    </row>
    <row r="45" spans="1:9" x14ac:dyDescent="0.2">
      <c r="A45">
        <v>1949</v>
      </c>
      <c r="B45" s="15" t="str">
        <f>IF(TYPE(VLOOKUP($A45,'calcul intermédiaire3 graphique'!$A$2:$G$13,COLUMN(B$1),FALSE))=16,"",VLOOKUP($A45,'calcul intermédiaire3 graphique'!$A$2:$G$13,COLUMN(B$1),FALSE))</f>
        <v/>
      </c>
      <c r="C45" s="15" t="str">
        <f>IF(TYPE(VLOOKUP($A45,'calcul intermédiaire3 graphique'!$A$2:$G$13,COLUMN(C$1),FALSE))=16,"",VLOOKUP($A45,'calcul intermédiaire3 graphique'!$A$2:$G$13,COLUMN(C$1),FALSE))</f>
        <v/>
      </c>
      <c r="D45" s="15" t="str">
        <f>IF(TYPE(VLOOKUP($A45,'calcul intermédiaire3 graphique'!$A$2:$G$13,COLUMN(D$1),FALSE))=16,"",VLOOKUP($A45,'calcul intermédiaire3 graphique'!$A$2:$G$13,COLUMN(D$1),FALSE))</f>
        <v/>
      </c>
      <c r="E45" s="15" t="str">
        <f>IF(TYPE(VLOOKUP($A45,'calcul intermédiaire3 graphique'!$A$2:$G$13,COLUMN(E$1),FALSE))=16,"",VLOOKUP($A45,'calcul intermédiaire3 graphique'!$A$2:$G$13,COLUMN(E$1),FALSE))</f>
        <v/>
      </c>
      <c r="F45" s="15" t="str">
        <f>IF(TYPE(VLOOKUP($A45,'calcul intermédiaire3 graphique'!$A$2:$G$13,COLUMN(F$1),FALSE))=16,"",VLOOKUP($A45,'calcul intermédiaire3 graphique'!$A$2:$G$13,COLUMN(F$1),FALSE))</f>
        <v/>
      </c>
      <c r="G45" s="15" t="str">
        <f>IF(TYPE(VLOOKUP($A45,'calcul intermédiaire3 graphique'!$A$2:$G$13,COLUMN(G$1),FALSE))=16,"",VLOOKUP($A45,'calcul intermédiaire3 graphique'!$A$2:$G$13,COLUMN(G$1),FALSE))</f>
        <v/>
      </c>
      <c r="H45" s="15">
        <v>13</v>
      </c>
      <c r="I45" s="15" t="str">
        <f>IF(TYPE(VLOOKUP($A45,'calcul intermédiaire3 graphique'!$A$2:$G$13,COLUMN(I$1),FALSE))=16,"",VLOOKUP($A45,'calcul intermédiaire3 graphique'!$A$2:$G$13,COLUMN(I$1),FALSE))</f>
        <v/>
      </c>
    </row>
    <row r="46" spans="1:9" x14ac:dyDescent="0.2">
      <c r="A46">
        <v>1950</v>
      </c>
      <c r="B46" s="15" t="str">
        <f>IF(TYPE(VLOOKUP($A46,'calcul intermédiaire3 graphique'!$A$2:$G$13,COLUMN(B$1),FALSE))=16,"",VLOOKUP($A46,'calcul intermédiaire3 graphique'!$A$2:$G$13,COLUMN(B$1),FALSE))</f>
        <v/>
      </c>
      <c r="C46" s="15" t="str">
        <f>IF(TYPE(VLOOKUP($A46,'calcul intermédiaire3 graphique'!$A$2:$G$13,COLUMN(C$1),FALSE))=16,"",VLOOKUP($A46,'calcul intermédiaire3 graphique'!$A$2:$G$13,COLUMN(C$1),FALSE))</f>
        <v/>
      </c>
      <c r="D46" s="15" t="str">
        <f>IF(TYPE(VLOOKUP($A46,'calcul intermédiaire3 graphique'!$A$2:$G$13,COLUMN(D$1),FALSE))=16,"",VLOOKUP($A46,'calcul intermédiaire3 graphique'!$A$2:$G$13,COLUMN(D$1),FALSE))</f>
        <v/>
      </c>
      <c r="E46" s="15" t="str">
        <f>IF(TYPE(VLOOKUP($A46,'calcul intermédiaire3 graphique'!$A$2:$G$13,COLUMN(E$1),FALSE))=16,"",VLOOKUP($A46,'calcul intermédiaire3 graphique'!$A$2:$G$13,COLUMN(E$1),FALSE))</f>
        <v/>
      </c>
      <c r="F46" s="15" t="str">
        <f>IF(TYPE(VLOOKUP($A46,'calcul intermédiaire3 graphique'!$A$2:$G$13,COLUMN(F$1),FALSE))=16,"",VLOOKUP($A46,'calcul intermédiaire3 graphique'!$A$2:$G$13,COLUMN(F$1),FALSE))</f>
        <v/>
      </c>
      <c r="G46" s="15" t="str">
        <f>IF(TYPE(VLOOKUP($A46,'calcul intermédiaire3 graphique'!$A$2:$G$13,COLUMN(G$1),FALSE))=16,"",VLOOKUP($A46,'calcul intermédiaire3 graphique'!$A$2:$G$13,COLUMN(G$1),FALSE))</f>
        <v/>
      </c>
      <c r="H46" s="15">
        <v>14</v>
      </c>
      <c r="I46" s="15" t="str">
        <f>IF(TYPE(VLOOKUP($A46,'calcul intermédiaire3 graphique'!$A$2:$G$13,COLUMN(I$1),FALSE))=16,"",VLOOKUP($A46,'calcul intermédiaire3 graphique'!$A$2:$G$13,COLUMN(I$1),FALSE))</f>
        <v/>
      </c>
    </row>
    <row r="47" spans="1:9" x14ac:dyDescent="0.2">
      <c r="A47">
        <v>1951</v>
      </c>
      <c r="B47" s="15" t="str">
        <f>IF(TYPE(VLOOKUP($A47,'calcul intermédiaire3 graphique'!$A$2:$G$13,COLUMN(B$1),FALSE))=16,"",VLOOKUP($A47,'calcul intermédiaire3 graphique'!$A$2:$G$13,COLUMN(B$1),FALSE))</f>
        <v/>
      </c>
      <c r="C47" s="15" t="str">
        <f>IF(TYPE(VLOOKUP($A47,'calcul intermédiaire3 graphique'!$A$2:$G$13,COLUMN(C$1),FALSE))=16,"",VLOOKUP($A47,'calcul intermédiaire3 graphique'!$A$2:$G$13,COLUMN(C$1),FALSE))</f>
        <v/>
      </c>
      <c r="D47" s="15" t="str">
        <f>IF(TYPE(VLOOKUP($A47,'calcul intermédiaire3 graphique'!$A$2:$G$13,COLUMN(D$1),FALSE))=16,"",VLOOKUP($A47,'calcul intermédiaire3 graphique'!$A$2:$G$13,COLUMN(D$1),FALSE))</f>
        <v/>
      </c>
      <c r="E47" s="15" t="str">
        <f>IF(TYPE(VLOOKUP($A47,'calcul intermédiaire3 graphique'!$A$2:$G$13,COLUMN(E$1),FALSE))=16,"",VLOOKUP($A47,'calcul intermédiaire3 graphique'!$A$2:$G$13,COLUMN(E$1),FALSE))</f>
        <v/>
      </c>
      <c r="F47" s="15" t="str">
        <f>IF(TYPE(VLOOKUP($A47,'calcul intermédiaire3 graphique'!$A$2:$G$13,COLUMN(F$1),FALSE))=16,"",VLOOKUP($A47,'calcul intermédiaire3 graphique'!$A$2:$G$13,COLUMN(F$1),FALSE))</f>
        <v/>
      </c>
      <c r="G47" s="15" t="str">
        <f>IF(TYPE(VLOOKUP($A47,'calcul intermédiaire3 graphique'!$A$2:$G$13,COLUMN(G$1),FALSE))=16,"",VLOOKUP($A47,'calcul intermédiaire3 graphique'!$A$2:$G$13,COLUMN(G$1),FALSE))</f>
        <v/>
      </c>
      <c r="H47" s="15">
        <v>15</v>
      </c>
      <c r="I47" s="15" t="str">
        <f>IF(TYPE(VLOOKUP($A47,'calcul intermédiaire3 graphique'!$A$2:$G$13,COLUMN(I$1),FALSE))=16,"",VLOOKUP($A47,'calcul intermédiaire3 graphique'!$A$2:$G$13,COLUMN(I$1),FALSE))</f>
        <v/>
      </c>
    </row>
    <row r="48" spans="1:9" x14ac:dyDescent="0.2">
      <c r="A48">
        <v>1952</v>
      </c>
      <c r="B48" s="15" t="str">
        <f>IF(TYPE(VLOOKUP($A48,'calcul intermédiaire3 graphique'!$A$2:$G$13,COLUMN(B$1),FALSE))=16,"",VLOOKUP($A48,'calcul intermédiaire3 graphique'!$A$2:$G$13,COLUMN(B$1),FALSE))</f>
        <v/>
      </c>
      <c r="C48" s="15" t="str">
        <f>IF(TYPE(VLOOKUP($A48,'calcul intermédiaire3 graphique'!$A$2:$G$13,COLUMN(C$1),FALSE))=16,"",VLOOKUP($A48,'calcul intermédiaire3 graphique'!$A$2:$G$13,COLUMN(C$1),FALSE))</f>
        <v/>
      </c>
      <c r="D48" s="15" t="str">
        <f>IF(TYPE(VLOOKUP($A48,'calcul intermédiaire3 graphique'!$A$2:$G$13,COLUMN(D$1),FALSE))=16,"",VLOOKUP($A48,'calcul intermédiaire3 graphique'!$A$2:$G$13,COLUMN(D$1),FALSE))</f>
        <v/>
      </c>
      <c r="E48" s="15" t="str">
        <f>IF(TYPE(VLOOKUP($A48,'calcul intermédiaire3 graphique'!$A$2:$G$13,COLUMN(E$1),FALSE))=16,"",VLOOKUP($A48,'calcul intermédiaire3 graphique'!$A$2:$G$13,COLUMN(E$1),FALSE))</f>
        <v/>
      </c>
      <c r="F48" s="15" t="str">
        <f>IF(TYPE(VLOOKUP($A48,'calcul intermédiaire3 graphique'!$A$2:$G$13,COLUMN(F$1),FALSE))=16,"",VLOOKUP($A48,'calcul intermédiaire3 graphique'!$A$2:$G$13,COLUMN(F$1),FALSE))</f>
        <v/>
      </c>
      <c r="G48" s="15" t="str">
        <f>IF(TYPE(VLOOKUP($A48,'calcul intermédiaire3 graphique'!$A$2:$G$13,COLUMN(G$1),FALSE))=16,"",VLOOKUP($A48,'calcul intermédiaire3 graphique'!$A$2:$G$13,COLUMN(G$1),FALSE))</f>
        <v/>
      </c>
      <c r="H48" s="15">
        <v>16</v>
      </c>
      <c r="I48" s="15" t="str">
        <f>IF(TYPE(VLOOKUP($A48,'calcul intermédiaire3 graphique'!$A$2:$G$13,COLUMN(I$1),FALSE))=16,"",VLOOKUP($A48,'calcul intermédiaire3 graphique'!$A$2:$G$13,COLUMN(I$1),FALSE))</f>
        <v/>
      </c>
    </row>
    <row r="49" spans="1:9" x14ac:dyDescent="0.2">
      <c r="A49">
        <v>1953</v>
      </c>
      <c r="B49" s="15" t="str">
        <f>IF(TYPE(VLOOKUP($A49,'calcul intermédiaire3 graphique'!$A$2:$G$13,COLUMN(B$1),FALSE))=16,"",VLOOKUP($A49,'calcul intermédiaire3 graphique'!$A$2:$G$13,COLUMN(B$1),FALSE))</f>
        <v/>
      </c>
      <c r="C49" s="15" t="str">
        <f>IF(TYPE(VLOOKUP($A49,'calcul intermédiaire3 graphique'!$A$2:$G$13,COLUMN(C$1),FALSE))=16,"",VLOOKUP($A49,'calcul intermédiaire3 graphique'!$A$2:$G$13,COLUMN(C$1),FALSE))</f>
        <v/>
      </c>
      <c r="D49" s="15" t="str">
        <f>IF(TYPE(VLOOKUP($A49,'calcul intermédiaire3 graphique'!$A$2:$G$13,COLUMN(D$1),FALSE))=16,"",VLOOKUP($A49,'calcul intermédiaire3 graphique'!$A$2:$G$13,COLUMN(D$1),FALSE))</f>
        <v/>
      </c>
      <c r="E49" s="15" t="str">
        <f>IF(TYPE(VLOOKUP($A49,'calcul intermédiaire3 graphique'!$A$2:$G$13,COLUMN(E$1),FALSE))=16,"",VLOOKUP($A49,'calcul intermédiaire3 graphique'!$A$2:$G$13,COLUMN(E$1),FALSE))</f>
        <v/>
      </c>
      <c r="F49" s="15" t="str">
        <f>IF(TYPE(VLOOKUP($A49,'calcul intermédiaire3 graphique'!$A$2:$G$13,COLUMN(F$1),FALSE))=16,"",VLOOKUP($A49,'calcul intermédiaire3 graphique'!$A$2:$G$13,COLUMN(F$1),FALSE))</f>
        <v/>
      </c>
      <c r="G49" s="15" t="str">
        <f>IF(TYPE(VLOOKUP($A49,'calcul intermédiaire3 graphique'!$A$2:$G$13,COLUMN(G$1),FALSE))=16,"",VLOOKUP($A49,'calcul intermédiaire3 graphique'!$A$2:$G$13,COLUMN(G$1),FALSE))</f>
        <v/>
      </c>
      <c r="H49" s="15">
        <v>17</v>
      </c>
      <c r="I49" s="15" t="str">
        <f>IF(TYPE(VLOOKUP($A49,'calcul intermédiaire3 graphique'!$A$2:$G$13,COLUMN(I$1),FALSE))=16,"",VLOOKUP($A49,'calcul intermédiaire3 graphique'!$A$2:$G$13,COLUMN(I$1),FALSE))</f>
        <v/>
      </c>
    </row>
    <row r="50" spans="1:9" x14ac:dyDescent="0.2">
      <c r="A50">
        <v>1954</v>
      </c>
      <c r="B50" s="15">
        <f>IF(TYPE(VLOOKUP($A50,'calcul intermédiaire3 graphique'!$A$2:$G$13,COLUMN(B$1),FALSE))=16,"",VLOOKUP($A50,'calcul intermédiaire3 graphique'!$A$2:$G$13,COLUMN(B$1),FALSE))</f>
        <v>692.1</v>
      </c>
      <c r="C50" s="15">
        <f>IF(TYPE(VLOOKUP($A50,'calcul intermédiaire3 graphique'!$A$2:$G$13,COLUMN(C$1),FALSE))=16,"",VLOOKUP($A50,'calcul intermédiaire3 graphique'!$A$2:$G$13,COLUMN(C$1),FALSE))</f>
        <v>1220.9506977363073</v>
      </c>
      <c r="D50" s="15">
        <f>IF(TYPE(VLOOKUP($A50,'calcul intermédiaire3 graphique'!$A$2:$G$13,COLUMN(D$1),FALSE))=16,"",VLOOKUP($A50,'calcul intermédiaire3 graphique'!$A$2:$G$13,COLUMN(D$1),FALSE))</f>
        <v>1789.7</v>
      </c>
      <c r="E50" s="15">
        <f>IF(TYPE(VLOOKUP($A50,'calcul intermédiaire3 graphique'!$A$2:$G$13,COLUMN(E$1),FALSE))=16,"",VLOOKUP($A50,'calcul intermédiaire3 graphique'!$A$2:$G$13,COLUMN(E$1),FALSE))</f>
        <v>780</v>
      </c>
      <c r="F50" s="15">
        <f>IF(TYPE(VLOOKUP($A50,'calcul intermédiaire3 graphique'!$A$2:$G$13,COLUMN(F$1),FALSE))=16,"",VLOOKUP($A50,'calcul intermédiaire3 graphique'!$A$2:$G$13,COLUMN(F$1),FALSE))</f>
        <v>549</v>
      </c>
      <c r="G50" s="15">
        <f>IF(TYPE(VLOOKUP($A50,'calcul intermédiaire3 graphique'!$A$2:$G$13,COLUMN(G$1),FALSE))=16,"",VLOOKUP($A50,'calcul intermédiaire3 graphique'!$A$2:$G$13,COLUMN(G$1),FALSE))</f>
        <v>101.05967405678973</v>
      </c>
      <c r="H50" s="15" t="str">
        <f>IF(TYPE(VLOOKUP($A50,'calcul intermédiaire3 graphique'!$A$2:$G$13,COLUMN(H$1),FALSE))=16,"",VLOOKUP($A50,'calcul intermédiaire3 graphique'!$A$2:$G$13,COLUMN(H$1),FALSE))</f>
        <v/>
      </c>
      <c r="I50" s="15" t="str">
        <f>IF(TYPE(VLOOKUP($A50,'calcul intermédiaire3 graphique'!$A$2:$G$13,COLUMN(I$1),FALSE))=16,"",VLOOKUP($A50,'calcul intermédiaire3 graphique'!$A$2:$G$13,COLUMN(I$1),FALSE))</f>
        <v/>
      </c>
    </row>
    <row r="51" spans="1:9" x14ac:dyDescent="0.2">
      <c r="A51">
        <v>1955</v>
      </c>
      <c r="B51" s="15" t="str">
        <f>IF(TYPE(VLOOKUP($A51,'calcul intermédiaire3 graphique'!$A$2:$G$13,COLUMN(B$1),FALSE))=16,"",VLOOKUP($A51,'calcul intermédiaire3 graphique'!$A$2:$G$13,COLUMN(B$1),FALSE))</f>
        <v/>
      </c>
      <c r="C51" s="15" t="str">
        <f>IF(TYPE(VLOOKUP($A51,'calcul intermédiaire3 graphique'!$A$2:$G$13,COLUMN(C$1),FALSE))=16,"",VLOOKUP($A51,'calcul intermédiaire3 graphique'!$A$2:$G$13,COLUMN(C$1),FALSE))</f>
        <v/>
      </c>
      <c r="D51" s="15" t="str">
        <f>IF(TYPE(VLOOKUP($A51,'calcul intermédiaire3 graphique'!$A$2:$G$13,COLUMN(D$1),FALSE))=16,"",VLOOKUP($A51,'calcul intermédiaire3 graphique'!$A$2:$G$13,COLUMN(D$1),FALSE))</f>
        <v/>
      </c>
      <c r="E51" s="15" t="str">
        <f>IF(TYPE(VLOOKUP($A51,'calcul intermédiaire3 graphique'!$A$2:$G$13,COLUMN(E$1),FALSE))=16,"",VLOOKUP($A51,'calcul intermédiaire3 graphique'!$A$2:$G$13,COLUMN(E$1),FALSE))</f>
        <v/>
      </c>
      <c r="F51" s="15" t="str">
        <f>IF(TYPE(VLOOKUP($A51,'calcul intermédiaire3 graphique'!$A$2:$G$13,COLUMN(F$1),FALSE))=16,"",VLOOKUP($A51,'calcul intermédiaire3 graphique'!$A$2:$G$13,COLUMN(F$1),FALSE))</f>
        <v/>
      </c>
      <c r="G51" s="15" t="str">
        <f>IF(TYPE(VLOOKUP($A51,'calcul intermédiaire3 graphique'!$A$2:$G$13,COLUMN(G$1),FALSE))=16,"",VLOOKUP($A51,'calcul intermédiaire3 graphique'!$A$2:$G$13,COLUMN(G$1),FALSE))</f>
        <v/>
      </c>
      <c r="H51" s="15">
        <v>1</v>
      </c>
      <c r="I51" s="15" t="str">
        <f>IF(TYPE(VLOOKUP($A51,'calcul intermédiaire3 graphique'!$A$2:$G$13,COLUMN(I$1),FALSE))=16,"",VLOOKUP($A51,'calcul intermédiaire3 graphique'!$A$2:$G$13,COLUMN(I$1),FALSE))</f>
        <v/>
      </c>
    </row>
    <row r="52" spans="1:9" x14ac:dyDescent="0.2">
      <c r="A52">
        <v>1956</v>
      </c>
      <c r="B52" s="15" t="str">
        <f>IF(TYPE(VLOOKUP($A52,'calcul intermédiaire3 graphique'!$A$2:$G$13,COLUMN(B$1),FALSE))=16,"",VLOOKUP($A52,'calcul intermédiaire3 graphique'!$A$2:$G$13,COLUMN(B$1),FALSE))</f>
        <v/>
      </c>
      <c r="C52" s="15" t="str">
        <f>IF(TYPE(VLOOKUP($A52,'calcul intermédiaire3 graphique'!$A$2:$G$13,COLUMN(C$1),FALSE))=16,"",VLOOKUP($A52,'calcul intermédiaire3 graphique'!$A$2:$G$13,COLUMN(C$1),FALSE))</f>
        <v/>
      </c>
      <c r="D52" s="15" t="str">
        <f>IF(TYPE(VLOOKUP($A52,'calcul intermédiaire3 graphique'!$A$2:$G$13,COLUMN(D$1),FALSE))=16,"",VLOOKUP($A52,'calcul intermédiaire3 graphique'!$A$2:$G$13,COLUMN(D$1),FALSE))</f>
        <v/>
      </c>
      <c r="E52" s="15" t="str">
        <f>IF(TYPE(VLOOKUP($A52,'calcul intermédiaire3 graphique'!$A$2:$G$13,COLUMN(E$1),FALSE))=16,"",VLOOKUP($A52,'calcul intermédiaire3 graphique'!$A$2:$G$13,COLUMN(E$1),FALSE))</f>
        <v/>
      </c>
      <c r="F52" s="15" t="str">
        <f>IF(TYPE(VLOOKUP($A52,'calcul intermédiaire3 graphique'!$A$2:$G$13,COLUMN(F$1),FALSE))=16,"",VLOOKUP($A52,'calcul intermédiaire3 graphique'!$A$2:$G$13,COLUMN(F$1),FALSE))</f>
        <v/>
      </c>
      <c r="G52" s="15" t="str">
        <f>IF(TYPE(VLOOKUP($A52,'calcul intermédiaire3 graphique'!$A$2:$G$13,COLUMN(G$1),FALSE))=16,"",VLOOKUP($A52,'calcul intermédiaire3 graphique'!$A$2:$G$13,COLUMN(G$1),FALSE))</f>
        <v/>
      </c>
      <c r="H52" s="15">
        <v>2</v>
      </c>
      <c r="I52" s="15" t="str">
        <f>IF(TYPE(VLOOKUP($A52,'calcul intermédiaire3 graphique'!$A$2:$G$13,COLUMN(I$1),FALSE))=16,"",VLOOKUP($A52,'calcul intermédiaire3 graphique'!$A$2:$G$13,COLUMN(I$1),FALSE))</f>
        <v/>
      </c>
    </row>
    <row r="53" spans="1:9" x14ac:dyDescent="0.2">
      <c r="A53">
        <v>1957</v>
      </c>
      <c r="B53" s="15" t="str">
        <f>IF(TYPE(VLOOKUP($A53,'calcul intermédiaire3 graphique'!$A$2:$G$13,COLUMN(B$1),FALSE))=16,"",VLOOKUP($A53,'calcul intermédiaire3 graphique'!$A$2:$G$13,COLUMN(B$1),FALSE))</f>
        <v/>
      </c>
      <c r="C53" s="15" t="str">
        <f>IF(TYPE(VLOOKUP($A53,'calcul intermédiaire3 graphique'!$A$2:$G$13,COLUMN(C$1),FALSE))=16,"",VLOOKUP($A53,'calcul intermédiaire3 graphique'!$A$2:$G$13,COLUMN(C$1),FALSE))</f>
        <v/>
      </c>
      <c r="D53" s="15" t="str">
        <f>IF(TYPE(VLOOKUP($A53,'calcul intermédiaire3 graphique'!$A$2:$G$13,COLUMN(D$1),FALSE))=16,"",VLOOKUP($A53,'calcul intermédiaire3 graphique'!$A$2:$G$13,COLUMN(D$1),FALSE))</f>
        <v/>
      </c>
      <c r="E53" s="15" t="str">
        <f>IF(TYPE(VLOOKUP($A53,'calcul intermédiaire3 graphique'!$A$2:$G$13,COLUMN(E$1),FALSE))=16,"",VLOOKUP($A53,'calcul intermédiaire3 graphique'!$A$2:$G$13,COLUMN(E$1),FALSE))</f>
        <v/>
      </c>
      <c r="F53" s="15" t="str">
        <f>IF(TYPE(VLOOKUP($A53,'calcul intermédiaire3 graphique'!$A$2:$G$13,COLUMN(F$1),FALSE))=16,"",VLOOKUP($A53,'calcul intermédiaire3 graphique'!$A$2:$G$13,COLUMN(F$1),FALSE))</f>
        <v/>
      </c>
      <c r="G53" s="15" t="str">
        <f>IF(TYPE(VLOOKUP($A53,'calcul intermédiaire3 graphique'!$A$2:$G$13,COLUMN(G$1),FALSE))=16,"",VLOOKUP($A53,'calcul intermédiaire3 graphique'!$A$2:$G$13,COLUMN(G$1),FALSE))</f>
        <v/>
      </c>
      <c r="H53" s="15">
        <v>3</v>
      </c>
      <c r="I53" s="15" t="str">
        <f>IF(TYPE(VLOOKUP($A53,'calcul intermédiaire3 graphique'!$A$2:$G$13,COLUMN(I$1),FALSE))=16,"",VLOOKUP($A53,'calcul intermédiaire3 graphique'!$A$2:$G$13,COLUMN(I$1),FALSE))</f>
        <v/>
      </c>
    </row>
    <row r="54" spans="1:9" x14ac:dyDescent="0.2">
      <c r="A54">
        <v>1958</v>
      </c>
      <c r="B54" s="15" t="str">
        <f>IF(TYPE(VLOOKUP($A54,'calcul intermédiaire3 graphique'!$A$2:$G$13,COLUMN(B$1),FALSE))=16,"",VLOOKUP($A54,'calcul intermédiaire3 graphique'!$A$2:$G$13,COLUMN(B$1),FALSE))</f>
        <v/>
      </c>
      <c r="C54" s="15" t="str">
        <f>IF(TYPE(VLOOKUP($A54,'calcul intermédiaire3 graphique'!$A$2:$G$13,COLUMN(C$1),FALSE))=16,"",VLOOKUP($A54,'calcul intermédiaire3 graphique'!$A$2:$G$13,COLUMN(C$1),FALSE))</f>
        <v/>
      </c>
      <c r="D54" s="15" t="str">
        <f>IF(TYPE(VLOOKUP($A54,'calcul intermédiaire3 graphique'!$A$2:$G$13,COLUMN(D$1),FALSE))=16,"",VLOOKUP($A54,'calcul intermédiaire3 graphique'!$A$2:$G$13,COLUMN(D$1),FALSE))</f>
        <v/>
      </c>
      <c r="E54" s="15" t="str">
        <f>IF(TYPE(VLOOKUP($A54,'calcul intermédiaire3 graphique'!$A$2:$G$13,COLUMN(E$1),FALSE))=16,"",VLOOKUP($A54,'calcul intermédiaire3 graphique'!$A$2:$G$13,COLUMN(E$1),FALSE))</f>
        <v/>
      </c>
      <c r="F54" s="15" t="str">
        <f>IF(TYPE(VLOOKUP($A54,'calcul intermédiaire3 graphique'!$A$2:$G$13,COLUMN(F$1),FALSE))=16,"",VLOOKUP($A54,'calcul intermédiaire3 graphique'!$A$2:$G$13,COLUMN(F$1),FALSE))</f>
        <v/>
      </c>
      <c r="G54" s="15" t="str">
        <f>IF(TYPE(VLOOKUP($A54,'calcul intermédiaire3 graphique'!$A$2:$G$13,COLUMN(G$1),FALSE))=16,"",VLOOKUP($A54,'calcul intermédiaire3 graphique'!$A$2:$G$13,COLUMN(G$1),FALSE))</f>
        <v/>
      </c>
      <c r="H54" s="15">
        <v>4</v>
      </c>
      <c r="I54" s="15" t="str">
        <f>IF(TYPE(VLOOKUP($A54,'calcul intermédiaire3 graphique'!$A$2:$G$13,COLUMN(I$1),FALSE))=16,"",VLOOKUP($A54,'calcul intermédiaire3 graphique'!$A$2:$G$13,COLUMN(I$1),FALSE))</f>
        <v/>
      </c>
    </row>
    <row r="55" spans="1:9" x14ac:dyDescent="0.2">
      <c r="A55">
        <v>1959</v>
      </c>
      <c r="B55" s="15" t="str">
        <f>IF(TYPE(VLOOKUP($A55,'calcul intermédiaire3 graphique'!$A$2:$G$13,COLUMN(B$1),FALSE))=16,"",VLOOKUP($A55,'calcul intermédiaire3 graphique'!$A$2:$G$13,COLUMN(B$1),FALSE))</f>
        <v/>
      </c>
      <c r="C55" s="15" t="str">
        <f>IF(TYPE(VLOOKUP($A55,'calcul intermédiaire3 graphique'!$A$2:$G$13,COLUMN(C$1),FALSE))=16,"",VLOOKUP($A55,'calcul intermédiaire3 graphique'!$A$2:$G$13,COLUMN(C$1),FALSE))</f>
        <v/>
      </c>
      <c r="D55" s="15" t="str">
        <f>IF(TYPE(VLOOKUP($A55,'calcul intermédiaire3 graphique'!$A$2:$G$13,COLUMN(D$1),FALSE))=16,"",VLOOKUP($A55,'calcul intermédiaire3 graphique'!$A$2:$G$13,COLUMN(D$1),FALSE))</f>
        <v/>
      </c>
      <c r="E55" s="15" t="str">
        <f>IF(TYPE(VLOOKUP($A55,'calcul intermédiaire3 graphique'!$A$2:$G$13,COLUMN(E$1),FALSE))=16,"",VLOOKUP($A55,'calcul intermédiaire3 graphique'!$A$2:$G$13,COLUMN(E$1),FALSE))</f>
        <v/>
      </c>
      <c r="F55" s="15" t="str">
        <f>IF(TYPE(VLOOKUP($A55,'calcul intermédiaire3 graphique'!$A$2:$G$13,COLUMN(F$1),FALSE))=16,"",VLOOKUP($A55,'calcul intermédiaire3 graphique'!$A$2:$G$13,COLUMN(F$1),FALSE))</f>
        <v/>
      </c>
      <c r="G55" s="15" t="str">
        <f>IF(TYPE(VLOOKUP($A55,'calcul intermédiaire3 graphique'!$A$2:$G$13,COLUMN(G$1),FALSE))=16,"",VLOOKUP($A55,'calcul intermédiaire3 graphique'!$A$2:$G$13,COLUMN(G$1),FALSE))</f>
        <v/>
      </c>
      <c r="H55" s="15">
        <v>5</v>
      </c>
      <c r="I55" s="15" t="str">
        <f>IF(TYPE(VLOOKUP($A55,'calcul intermédiaire3 graphique'!$A$2:$G$13,COLUMN(I$1),FALSE))=16,"",VLOOKUP($A55,'calcul intermédiaire3 graphique'!$A$2:$G$13,COLUMN(I$1),FALSE))</f>
        <v/>
      </c>
    </row>
    <row r="56" spans="1:9" x14ac:dyDescent="0.2">
      <c r="A56">
        <v>1960</v>
      </c>
      <c r="B56" s="15" t="str">
        <f>IF(TYPE(VLOOKUP($A56,'calcul intermédiaire3 graphique'!$A$2:$G$13,COLUMN(B$1),FALSE))=16,"",VLOOKUP($A56,'calcul intermédiaire3 graphique'!$A$2:$G$13,COLUMN(B$1),FALSE))</f>
        <v/>
      </c>
      <c r="C56" s="15" t="str">
        <f>IF(TYPE(VLOOKUP($A56,'calcul intermédiaire3 graphique'!$A$2:$G$13,COLUMN(C$1),FALSE))=16,"",VLOOKUP($A56,'calcul intermédiaire3 graphique'!$A$2:$G$13,COLUMN(C$1),FALSE))</f>
        <v/>
      </c>
      <c r="D56" s="15" t="str">
        <f>IF(TYPE(VLOOKUP($A56,'calcul intermédiaire3 graphique'!$A$2:$G$13,COLUMN(D$1),FALSE))=16,"",VLOOKUP($A56,'calcul intermédiaire3 graphique'!$A$2:$G$13,COLUMN(D$1),FALSE))</f>
        <v/>
      </c>
      <c r="E56" s="15" t="str">
        <f>IF(TYPE(VLOOKUP($A56,'calcul intermédiaire3 graphique'!$A$2:$G$13,COLUMN(E$1),FALSE))=16,"",VLOOKUP($A56,'calcul intermédiaire3 graphique'!$A$2:$G$13,COLUMN(E$1),FALSE))</f>
        <v/>
      </c>
      <c r="F56" s="15" t="str">
        <f>IF(TYPE(VLOOKUP($A56,'calcul intermédiaire3 graphique'!$A$2:$G$13,COLUMN(F$1),FALSE))=16,"",VLOOKUP($A56,'calcul intermédiaire3 graphique'!$A$2:$G$13,COLUMN(F$1),FALSE))</f>
        <v/>
      </c>
      <c r="G56" s="15" t="str">
        <f>IF(TYPE(VLOOKUP($A56,'calcul intermédiaire3 graphique'!$A$2:$G$13,COLUMN(G$1),FALSE))=16,"",VLOOKUP($A56,'calcul intermédiaire3 graphique'!$A$2:$G$13,COLUMN(G$1),FALSE))</f>
        <v/>
      </c>
      <c r="H56" s="15">
        <v>6</v>
      </c>
      <c r="I56" s="15" t="str">
        <f>IF(TYPE(VLOOKUP($A56,'calcul intermédiaire3 graphique'!$A$2:$G$13,COLUMN(I$1),FALSE))=16,"",VLOOKUP($A56,'calcul intermédiaire3 graphique'!$A$2:$G$13,COLUMN(I$1),FALSE))</f>
        <v/>
      </c>
    </row>
    <row r="57" spans="1:9" x14ac:dyDescent="0.2">
      <c r="A57">
        <v>1961</v>
      </c>
      <c r="B57" s="15" t="str">
        <f>IF(TYPE(VLOOKUP($A57,'calcul intermédiaire3 graphique'!$A$2:$G$13,COLUMN(B$1),FALSE))=16,"",VLOOKUP($A57,'calcul intermédiaire3 graphique'!$A$2:$G$13,COLUMN(B$1),FALSE))</f>
        <v/>
      </c>
      <c r="C57" s="15" t="str">
        <f>IF(TYPE(VLOOKUP($A57,'calcul intermédiaire3 graphique'!$A$2:$G$13,COLUMN(C$1),FALSE))=16,"",VLOOKUP($A57,'calcul intermédiaire3 graphique'!$A$2:$G$13,COLUMN(C$1),FALSE))</f>
        <v/>
      </c>
      <c r="D57" s="15" t="str">
        <f>IF(TYPE(VLOOKUP($A57,'calcul intermédiaire3 graphique'!$A$2:$G$13,COLUMN(D$1),FALSE))=16,"",VLOOKUP($A57,'calcul intermédiaire3 graphique'!$A$2:$G$13,COLUMN(D$1),FALSE))</f>
        <v/>
      </c>
      <c r="E57" s="15" t="str">
        <f>IF(TYPE(VLOOKUP($A57,'calcul intermédiaire3 graphique'!$A$2:$G$13,COLUMN(E$1),FALSE))=16,"",VLOOKUP($A57,'calcul intermédiaire3 graphique'!$A$2:$G$13,COLUMN(E$1),FALSE))</f>
        <v/>
      </c>
      <c r="F57" s="15" t="str">
        <f>IF(TYPE(VLOOKUP($A57,'calcul intermédiaire3 graphique'!$A$2:$G$13,COLUMN(F$1),FALSE))=16,"",VLOOKUP($A57,'calcul intermédiaire3 graphique'!$A$2:$G$13,COLUMN(F$1),FALSE))</f>
        <v/>
      </c>
      <c r="G57" s="15" t="str">
        <f>IF(TYPE(VLOOKUP($A57,'calcul intermédiaire3 graphique'!$A$2:$G$13,COLUMN(G$1),FALSE))=16,"",VLOOKUP($A57,'calcul intermédiaire3 graphique'!$A$2:$G$13,COLUMN(G$1),FALSE))</f>
        <v/>
      </c>
      <c r="H57" s="15">
        <v>7</v>
      </c>
      <c r="I57" s="15" t="str">
        <f>IF(TYPE(VLOOKUP($A57,'calcul intermédiaire3 graphique'!$A$2:$G$13,COLUMN(I$1),FALSE))=16,"",VLOOKUP($A57,'calcul intermédiaire3 graphique'!$A$2:$G$13,COLUMN(I$1),FALSE))</f>
        <v/>
      </c>
    </row>
    <row r="58" spans="1:9" x14ac:dyDescent="0.2">
      <c r="A58">
        <v>1962</v>
      </c>
      <c r="B58" s="15">
        <f>IF(TYPE(VLOOKUP($A58,'calcul intermédiaire3 graphique'!$A$2:$G$13,COLUMN(B$1),FALSE))=16,"",VLOOKUP($A58,'calcul intermédiaire3 graphique'!$A$2:$G$13,COLUMN(B$1),FALSE))</f>
        <v>797.1</v>
      </c>
      <c r="C58" s="15">
        <f>IF(TYPE(VLOOKUP($A58,'calcul intermédiaire3 graphique'!$A$2:$G$13,COLUMN(C$1),FALSE))=16,"",VLOOKUP($A58,'calcul intermédiaire3 graphique'!$A$2:$G$13,COLUMN(C$1),FALSE))</f>
        <v>1407.8000000000002</v>
      </c>
      <c r="D58" s="15">
        <f>IF(TYPE(VLOOKUP($A58,'calcul intermédiaire3 graphique'!$A$2:$G$13,COLUMN(D$1),FALSE))=16,"",VLOOKUP($A58,'calcul intermédiaire3 graphique'!$A$2:$G$13,COLUMN(D$1),FALSE))</f>
        <v>2110.5</v>
      </c>
      <c r="E58" s="15">
        <f>IF(TYPE(VLOOKUP($A58,'calcul intermédiaire3 graphique'!$A$2:$G$13,COLUMN(E$1),FALSE))=16,"",VLOOKUP($A58,'calcul intermédiaire3 graphique'!$A$2:$G$13,COLUMN(E$1),FALSE))</f>
        <v>857.4</v>
      </c>
      <c r="F58" s="15">
        <f>IF(TYPE(VLOOKUP($A58,'calcul intermédiaire3 graphique'!$A$2:$G$13,COLUMN(F$1),FALSE))=16,"",VLOOKUP($A58,'calcul intermédiaire3 graphique'!$A$2:$G$13,COLUMN(F$1),FALSE))</f>
        <v>544.9</v>
      </c>
      <c r="G58" s="15">
        <f>IF(TYPE(VLOOKUP($A58,'calcul intermédiaire3 graphique'!$A$2:$G$13,COLUMN(G$1),FALSE))=16,"",VLOOKUP($A58,'calcul intermédiaire3 graphique'!$A$2:$G$13,COLUMN(G$1),FALSE))</f>
        <v>92.9</v>
      </c>
      <c r="H58" s="15" t="str">
        <f>IF(TYPE(VLOOKUP($A58,'calcul intermédiaire3 graphique'!$A$2:$G$13,COLUMN(H$1),FALSE))=16,"",VLOOKUP($A58,'calcul intermédiaire3 graphique'!$A$2:$G$13,COLUMN(H$1),FALSE))</f>
        <v/>
      </c>
      <c r="I58" s="15" t="str">
        <f>IF(TYPE(VLOOKUP($A58,'calcul intermédiaire3 graphique'!$A$2:$G$13,COLUMN(I$1),FALSE))=16,"",VLOOKUP($A58,'calcul intermédiaire3 graphique'!$A$2:$G$13,COLUMN(I$1),FALSE))</f>
        <v/>
      </c>
    </row>
    <row r="59" spans="1:9" x14ac:dyDescent="0.2">
      <c r="A59">
        <v>1963</v>
      </c>
      <c r="B59" s="15" t="str">
        <f>IF(TYPE(VLOOKUP($A59,'calcul intermédiaire3 graphique'!$A$2:$G$13,COLUMN(B$1),FALSE))=16,"",VLOOKUP($A59,'calcul intermédiaire3 graphique'!$A$2:$G$13,COLUMN(B$1),FALSE))</f>
        <v/>
      </c>
      <c r="C59" s="15" t="str">
        <f>IF(TYPE(VLOOKUP($A59,'calcul intermédiaire3 graphique'!$A$2:$G$13,COLUMN(C$1),FALSE))=16,"",VLOOKUP($A59,'calcul intermédiaire3 graphique'!$A$2:$G$13,COLUMN(C$1),FALSE))</f>
        <v/>
      </c>
      <c r="D59" s="15" t="str">
        <f>IF(TYPE(VLOOKUP($A59,'calcul intermédiaire3 graphique'!$A$2:$G$13,COLUMN(D$1),FALSE))=16,"",VLOOKUP($A59,'calcul intermédiaire3 graphique'!$A$2:$G$13,COLUMN(D$1),FALSE))</f>
        <v/>
      </c>
      <c r="E59" s="15" t="str">
        <f>IF(TYPE(VLOOKUP($A59,'calcul intermédiaire3 graphique'!$A$2:$G$13,COLUMN(E$1),FALSE))=16,"",VLOOKUP($A59,'calcul intermédiaire3 graphique'!$A$2:$G$13,COLUMN(E$1),FALSE))</f>
        <v/>
      </c>
      <c r="F59" s="15" t="str">
        <f>IF(TYPE(VLOOKUP($A59,'calcul intermédiaire3 graphique'!$A$2:$G$13,COLUMN(F$1),FALSE))=16,"",VLOOKUP($A59,'calcul intermédiaire3 graphique'!$A$2:$G$13,COLUMN(F$1),FALSE))</f>
        <v/>
      </c>
      <c r="G59" s="15" t="str">
        <f>IF(TYPE(VLOOKUP($A59,'calcul intermédiaire3 graphique'!$A$2:$G$13,COLUMN(G$1),FALSE))=16,"",VLOOKUP($A59,'calcul intermédiaire3 graphique'!$A$2:$G$13,COLUMN(G$1),FALSE))</f>
        <v/>
      </c>
      <c r="H59" s="15">
        <v>1</v>
      </c>
      <c r="I59" s="15" t="str">
        <f>IF(TYPE(VLOOKUP($A59,'calcul intermédiaire3 graphique'!$A$2:$G$13,COLUMN(I$1),FALSE))=16,"",VLOOKUP($A59,'calcul intermédiaire3 graphique'!$A$2:$G$13,COLUMN(I$1),FALSE))</f>
        <v/>
      </c>
    </row>
    <row r="60" spans="1:9" x14ac:dyDescent="0.2">
      <c r="A60">
        <v>1964</v>
      </c>
      <c r="B60" s="15" t="str">
        <f>IF(TYPE(VLOOKUP($A60,'calcul intermédiaire3 graphique'!$A$2:$G$13,COLUMN(B$1),FALSE))=16,"",VLOOKUP($A60,'calcul intermédiaire3 graphique'!$A$2:$G$13,COLUMN(B$1),FALSE))</f>
        <v/>
      </c>
      <c r="C60" s="15" t="str">
        <f>IF(TYPE(VLOOKUP($A60,'calcul intermédiaire3 graphique'!$A$2:$G$13,COLUMN(C$1),FALSE))=16,"",VLOOKUP($A60,'calcul intermédiaire3 graphique'!$A$2:$G$13,COLUMN(C$1),FALSE))</f>
        <v/>
      </c>
      <c r="D60" s="15" t="str">
        <f>IF(TYPE(VLOOKUP($A60,'calcul intermédiaire3 graphique'!$A$2:$G$13,COLUMN(D$1),FALSE))=16,"",VLOOKUP($A60,'calcul intermédiaire3 graphique'!$A$2:$G$13,COLUMN(D$1),FALSE))</f>
        <v/>
      </c>
      <c r="E60" s="15" t="str">
        <f>IF(TYPE(VLOOKUP($A60,'calcul intermédiaire3 graphique'!$A$2:$G$13,COLUMN(E$1),FALSE))=16,"",VLOOKUP($A60,'calcul intermédiaire3 graphique'!$A$2:$G$13,COLUMN(E$1),FALSE))</f>
        <v/>
      </c>
      <c r="F60" s="15" t="str">
        <f>IF(TYPE(VLOOKUP($A60,'calcul intermédiaire3 graphique'!$A$2:$G$13,COLUMN(F$1),FALSE))=16,"",VLOOKUP($A60,'calcul intermédiaire3 graphique'!$A$2:$G$13,COLUMN(F$1),FALSE))</f>
        <v/>
      </c>
      <c r="G60" s="15" t="str">
        <f>IF(TYPE(VLOOKUP($A60,'calcul intermédiaire3 graphique'!$A$2:$G$13,COLUMN(G$1),FALSE))=16,"",VLOOKUP($A60,'calcul intermédiaire3 graphique'!$A$2:$G$13,COLUMN(G$1),FALSE))</f>
        <v/>
      </c>
      <c r="H60" s="15">
        <v>2</v>
      </c>
      <c r="I60" s="15" t="str">
        <f>IF(TYPE(VLOOKUP($A60,'calcul intermédiaire3 graphique'!$A$2:$G$13,COLUMN(I$1),FALSE))=16,"",VLOOKUP($A60,'calcul intermédiaire3 graphique'!$A$2:$G$13,COLUMN(I$1),FALSE))</f>
        <v/>
      </c>
    </row>
    <row r="61" spans="1:9" x14ac:dyDescent="0.2">
      <c r="A61">
        <v>1965</v>
      </c>
      <c r="B61" s="15" t="str">
        <f>IF(TYPE(VLOOKUP($A61,'calcul intermédiaire3 graphique'!$A$2:$G$13,COLUMN(B$1),FALSE))=16,"",VLOOKUP($A61,'calcul intermédiaire3 graphique'!$A$2:$G$13,COLUMN(B$1),FALSE))</f>
        <v/>
      </c>
      <c r="C61" s="15" t="str">
        <f>IF(TYPE(VLOOKUP($A61,'calcul intermédiaire3 graphique'!$A$2:$G$13,COLUMN(C$1),FALSE))=16,"",VLOOKUP($A61,'calcul intermédiaire3 graphique'!$A$2:$G$13,COLUMN(C$1),FALSE))</f>
        <v/>
      </c>
      <c r="D61" s="15" t="str">
        <f>IF(TYPE(VLOOKUP($A61,'calcul intermédiaire3 graphique'!$A$2:$G$13,COLUMN(D$1),FALSE))=16,"",VLOOKUP($A61,'calcul intermédiaire3 graphique'!$A$2:$G$13,COLUMN(D$1),FALSE))</f>
        <v/>
      </c>
      <c r="E61" s="15" t="str">
        <f>IF(TYPE(VLOOKUP($A61,'calcul intermédiaire3 graphique'!$A$2:$G$13,COLUMN(E$1),FALSE))=16,"",VLOOKUP($A61,'calcul intermédiaire3 graphique'!$A$2:$G$13,COLUMN(E$1),FALSE))</f>
        <v/>
      </c>
      <c r="F61" s="15" t="str">
        <f>IF(TYPE(VLOOKUP($A61,'calcul intermédiaire3 graphique'!$A$2:$G$13,COLUMN(F$1),FALSE))=16,"",VLOOKUP($A61,'calcul intermédiaire3 graphique'!$A$2:$G$13,COLUMN(F$1),FALSE))</f>
        <v/>
      </c>
      <c r="G61" s="15" t="str">
        <f>IF(TYPE(VLOOKUP($A61,'calcul intermédiaire3 graphique'!$A$2:$G$13,COLUMN(G$1),FALSE))=16,"",VLOOKUP($A61,'calcul intermédiaire3 graphique'!$A$2:$G$13,COLUMN(G$1),FALSE))</f>
        <v/>
      </c>
      <c r="H61" s="15">
        <v>3</v>
      </c>
      <c r="I61" s="15" t="str">
        <f>IF(TYPE(VLOOKUP($A61,'calcul intermédiaire3 graphique'!$A$2:$G$13,COLUMN(I$1),FALSE))=16,"",VLOOKUP($A61,'calcul intermédiaire3 graphique'!$A$2:$G$13,COLUMN(I$1),FALSE))</f>
        <v/>
      </c>
    </row>
    <row r="62" spans="1:9" x14ac:dyDescent="0.2">
      <c r="A62">
        <v>1966</v>
      </c>
      <c r="B62" s="15" t="str">
        <f>IF(TYPE(VLOOKUP($A62,'calcul intermédiaire3 graphique'!$A$2:$G$13,COLUMN(B$1),FALSE))=16,"",VLOOKUP($A62,'calcul intermédiaire3 graphique'!$A$2:$G$13,COLUMN(B$1),FALSE))</f>
        <v/>
      </c>
      <c r="C62" s="15" t="str">
        <f>IF(TYPE(VLOOKUP($A62,'calcul intermédiaire3 graphique'!$A$2:$G$13,COLUMN(C$1),FALSE))=16,"",VLOOKUP($A62,'calcul intermédiaire3 graphique'!$A$2:$G$13,COLUMN(C$1),FALSE))</f>
        <v/>
      </c>
      <c r="D62" s="15" t="str">
        <f>IF(TYPE(VLOOKUP($A62,'calcul intermédiaire3 graphique'!$A$2:$G$13,COLUMN(D$1),FALSE))=16,"",VLOOKUP($A62,'calcul intermédiaire3 graphique'!$A$2:$G$13,COLUMN(D$1),FALSE))</f>
        <v/>
      </c>
      <c r="E62" s="15" t="str">
        <f>IF(TYPE(VLOOKUP($A62,'calcul intermédiaire3 graphique'!$A$2:$G$13,COLUMN(E$1),FALSE))=16,"",VLOOKUP($A62,'calcul intermédiaire3 graphique'!$A$2:$G$13,COLUMN(E$1),FALSE))</f>
        <v/>
      </c>
      <c r="F62" s="15" t="str">
        <f>IF(TYPE(VLOOKUP($A62,'calcul intermédiaire3 graphique'!$A$2:$G$13,COLUMN(F$1),FALSE))=16,"",VLOOKUP($A62,'calcul intermédiaire3 graphique'!$A$2:$G$13,COLUMN(F$1),FALSE))</f>
        <v/>
      </c>
      <c r="G62" s="15" t="str">
        <f>IF(TYPE(VLOOKUP($A62,'calcul intermédiaire3 graphique'!$A$2:$G$13,COLUMN(G$1),FALSE))=16,"",VLOOKUP($A62,'calcul intermédiaire3 graphique'!$A$2:$G$13,COLUMN(G$1),FALSE))</f>
        <v/>
      </c>
      <c r="H62" s="15">
        <v>4</v>
      </c>
      <c r="I62" s="15" t="str">
        <f>IF(TYPE(VLOOKUP($A62,'calcul intermédiaire3 graphique'!$A$2:$G$13,COLUMN(I$1),FALSE))=16,"",VLOOKUP($A62,'calcul intermédiaire3 graphique'!$A$2:$G$13,COLUMN(I$1),FALSE))</f>
        <v/>
      </c>
    </row>
    <row r="63" spans="1:9" x14ac:dyDescent="0.2">
      <c r="A63">
        <v>1967</v>
      </c>
      <c r="B63" s="15" t="str">
        <f>IF(TYPE(VLOOKUP($A63,'calcul intermédiaire3 graphique'!$A$2:$G$13,COLUMN(B$1),FALSE))=16,"",VLOOKUP($A63,'calcul intermédiaire3 graphique'!$A$2:$G$13,COLUMN(B$1),FALSE))</f>
        <v/>
      </c>
      <c r="C63" s="15" t="str">
        <f>IF(TYPE(VLOOKUP($A63,'calcul intermédiaire3 graphique'!$A$2:$G$13,COLUMN(C$1),FALSE))=16,"",VLOOKUP($A63,'calcul intermédiaire3 graphique'!$A$2:$G$13,COLUMN(C$1),FALSE))</f>
        <v/>
      </c>
      <c r="D63" s="15" t="str">
        <f>IF(TYPE(VLOOKUP($A63,'calcul intermédiaire3 graphique'!$A$2:$G$13,COLUMN(D$1),FALSE))=16,"",VLOOKUP($A63,'calcul intermédiaire3 graphique'!$A$2:$G$13,COLUMN(D$1),FALSE))</f>
        <v/>
      </c>
      <c r="E63" s="15" t="str">
        <f>IF(TYPE(VLOOKUP($A63,'calcul intermédiaire3 graphique'!$A$2:$G$13,COLUMN(E$1),FALSE))=16,"",VLOOKUP($A63,'calcul intermédiaire3 graphique'!$A$2:$G$13,COLUMN(E$1),FALSE))</f>
        <v/>
      </c>
      <c r="F63" s="15" t="str">
        <f>IF(TYPE(VLOOKUP($A63,'calcul intermédiaire3 graphique'!$A$2:$G$13,COLUMN(F$1),FALSE))=16,"",VLOOKUP($A63,'calcul intermédiaire3 graphique'!$A$2:$G$13,COLUMN(F$1),FALSE))</f>
        <v/>
      </c>
      <c r="G63" s="15" t="str">
        <f>IF(TYPE(VLOOKUP($A63,'calcul intermédiaire3 graphique'!$A$2:$G$13,COLUMN(G$1),FALSE))=16,"",VLOOKUP($A63,'calcul intermédiaire3 graphique'!$A$2:$G$13,COLUMN(G$1),FALSE))</f>
        <v/>
      </c>
      <c r="H63" s="15">
        <v>5</v>
      </c>
      <c r="I63" s="15" t="str">
        <f>IF(TYPE(VLOOKUP($A63,'calcul intermédiaire3 graphique'!$A$2:$G$13,COLUMN(I$1),FALSE))=16,"",VLOOKUP($A63,'calcul intermédiaire3 graphique'!$A$2:$G$13,COLUMN(I$1),FALSE))</f>
        <v/>
      </c>
    </row>
    <row r="64" spans="1:9" x14ac:dyDescent="0.2">
      <c r="A64">
        <v>1968</v>
      </c>
      <c r="B64" s="15">
        <f>IF(TYPE(VLOOKUP($A64,'calcul intermédiaire3 graphique'!$A$2:$G$13,COLUMN(B$1),FALSE))=16,"",VLOOKUP($A64,'calcul intermédiaire3 graphique'!$A$2:$G$13,COLUMN(B$1),FALSE))</f>
        <v>1009.1</v>
      </c>
      <c r="C64" s="15">
        <f>IF(TYPE(VLOOKUP($A64,'calcul intermédiaire3 graphique'!$A$2:$G$13,COLUMN(C$1),FALSE))=16,"",VLOOKUP($A64,'calcul intermédiaire3 graphique'!$A$2:$G$13,COLUMN(C$1),FALSE))</f>
        <v>1573.5</v>
      </c>
      <c r="D64" s="15">
        <f>IF(TYPE(VLOOKUP($A64,'calcul intermédiaire3 graphique'!$A$2:$G$13,COLUMN(D$1),FALSE))=16,"",VLOOKUP($A64,'calcul intermédiaire3 graphique'!$A$2:$G$13,COLUMN(D$1),FALSE))</f>
        <v>2425.1999999999998</v>
      </c>
      <c r="E64" s="15">
        <f>IF(TYPE(VLOOKUP($A64,'calcul intermédiaire3 graphique'!$A$2:$G$13,COLUMN(E$1),FALSE))=16,"",VLOOKUP($A64,'calcul intermédiaire3 graphique'!$A$2:$G$13,COLUMN(E$1),FALSE))</f>
        <v>953.4</v>
      </c>
      <c r="F64" s="15">
        <f>IF(TYPE(VLOOKUP($A64,'calcul intermédiaire3 graphique'!$A$2:$G$13,COLUMN(F$1),FALSE))=16,"",VLOOKUP($A64,'calcul intermédiaire3 graphique'!$A$2:$G$13,COLUMN(F$1),FALSE))</f>
        <v>532.1</v>
      </c>
      <c r="G64" s="15">
        <f>IF(TYPE(VLOOKUP($A64,'calcul intermédiaire3 graphique'!$A$2:$G$13,COLUMN(G$1),FALSE))=16,"",VLOOKUP($A64,'calcul intermédiaire3 graphique'!$A$2:$G$13,COLUMN(G$1),FALSE))</f>
        <v>88.1</v>
      </c>
      <c r="H64" s="15" t="str">
        <f>IF(TYPE(VLOOKUP($A64,'calcul intermédiaire3 graphique'!$A$2:$G$13,COLUMN(H$1),FALSE))=16,"",VLOOKUP($A64,'calcul intermédiaire3 graphique'!$A$2:$G$13,COLUMN(H$1),FALSE))</f>
        <v/>
      </c>
      <c r="I64" s="15" t="str">
        <f>IF(TYPE(VLOOKUP($A64,'calcul intermédiaire3 graphique'!$A$2:$G$13,COLUMN(I$1),FALSE))=16,"",VLOOKUP($A64,'calcul intermédiaire3 graphique'!$A$2:$G$13,COLUMN(I$1),FALSE))</f>
        <v/>
      </c>
    </row>
    <row r="65" spans="1:9" x14ac:dyDescent="0.2">
      <c r="A65">
        <v>1969</v>
      </c>
      <c r="B65" s="15" t="str">
        <f>IF(TYPE(VLOOKUP($A65,'calcul intermédiaire3 graphique'!$A$2:$G$13,COLUMN(B$1),FALSE))=16,"",VLOOKUP($A65,'calcul intermédiaire3 graphique'!$A$2:$G$13,COLUMN(B$1),FALSE))</f>
        <v/>
      </c>
      <c r="C65" s="15" t="str">
        <f>IF(TYPE(VLOOKUP($A65,'calcul intermédiaire3 graphique'!$A$2:$G$13,COLUMN(C$1),FALSE))=16,"",VLOOKUP($A65,'calcul intermédiaire3 graphique'!$A$2:$G$13,COLUMN(C$1),FALSE))</f>
        <v/>
      </c>
      <c r="D65" s="15" t="str">
        <f>IF(TYPE(VLOOKUP($A65,'calcul intermédiaire3 graphique'!$A$2:$G$13,COLUMN(D$1),FALSE))=16,"",VLOOKUP($A65,'calcul intermédiaire3 graphique'!$A$2:$G$13,COLUMN(D$1),FALSE))</f>
        <v/>
      </c>
      <c r="E65" s="15" t="str">
        <f>IF(TYPE(VLOOKUP($A65,'calcul intermédiaire3 graphique'!$A$2:$G$13,COLUMN(E$1),FALSE))=16,"",VLOOKUP($A65,'calcul intermédiaire3 graphique'!$A$2:$G$13,COLUMN(E$1),FALSE))</f>
        <v/>
      </c>
      <c r="F65" s="15" t="str">
        <f>IF(TYPE(VLOOKUP($A65,'calcul intermédiaire3 graphique'!$A$2:$G$13,COLUMN(F$1),FALSE))=16,"",VLOOKUP($A65,'calcul intermédiaire3 graphique'!$A$2:$G$13,COLUMN(F$1),FALSE))</f>
        <v/>
      </c>
      <c r="G65" s="15" t="str">
        <f>IF(TYPE(VLOOKUP($A65,'calcul intermédiaire3 graphique'!$A$2:$G$13,COLUMN(G$1),FALSE))=16,"",VLOOKUP($A65,'calcul intermédiaire3 graphique'!$A$2:$G$13,COLUMN(G$1),FALSE))</f>
        <v/>
      </c>
      <c r="H65" s="15">
        <v>1</v>
      </c>
      <c r="I65" s="15" t="str">
        <f>IF(TYPE(VLOOKUP($A65,'calcul intermédiaire3 graphique'!$A$2:$G$13,COLUMN(I$1),FALSE))=16,"",VLOOKUP($A65,'calcul intermédiaire3 graphique'!$A$2:$G$13,COLUMN(I$1),FALSE))</f>
        <v/>
      </c>
    </row>
    <row r="66" spans="1:9" x14ac:dyDescent="0.2">
      <c r="A66">
        <v>1970</v>
      </c>
      <c r="B66" s="15" t="str">
        <f>IF(TYPE(VLOOKUP($A66,'calcul intermédiaire3 graphique'!$A$2:$G$13,COLUMN(B$1),FALSE))=16,"",VLOOKUP($A66,'calcul intermédiaire3 graphique'!$A$2:$G$13,COLUMN(B$1),FALSE))</f>
        <v/>
      </c>
      <c r="C66" s="15" t="str">
        <f>IF(TYPE(VLOOKUP($A66,'calcul intermédiaire3 graphique'!$A$2:$G$13,COLUMN(C$1),FALSE))=16,"",VLOOKUP($A66,'calcul intermédiaire3 graphique'!$A$2:$G$13,COLUMN(C$1),FALSE))</f>
        <v/>
      </c>
      <c r="D66" s="15" t="str">
        <f>IF(TYPE(VLOOKUP($A66,'calcul intermédiaire3 graphique'!$A$2:$G$13,COLUMN(D$1),FALSE))=16,"",VLOOKUP($A66,'calcul intermédiaire3 graphique'!$A$2:$G$13,COLUMN(D$1),FALSE))</f>
        <v/>
      </c>
      <c r="E66" s="15" t="str">
        <f>IF(TYPE(VLOOKUP($A66,'calcul intermédiaire3 graphique'!$A$2:$G$13,COLUMN(E$1),FALSE))=16,"",VLOOKUP($A66,'calcul intermédiaire3 graphique'!$A$2:$G$13,COLUMN(E$1),FALSE))</f>
        <v/>
      </c>
      <c r="F66" s="15" t="str">
        <f>IF(TYPE(VLOOKUP($A66,'calcul intermédiaire3 graphique'!$A$2:$G$13,COLUMN(F$1),FALSE))=16,"",VLOOKUP($A66,'calcul intermédiaire3 graphique'!$A$2:$G$13,COLUMN(F$1),FALSE))</f>
        <v/>
      </c>
      <c r="G66" s="15" t="str">
        <f>IF(TYPE(VLOOKUP($A66,'calcul intermédiaire3 graphique'!$A$2:$G$13,COLUMN(G$1),FALSE))=16,"",VLOOKUP($A66,'calcul intermédiaire3 graphique'!$A$2:$G$13,COLUMN(G$1),FALSE))</f>
        <v/>
      </c>
      <c r="H66" s="15">
        <v>2</v>
      </c>
      <c r="I66" s="15" t="str">
        <f>IF(TYPE(VLOOKUP($A66,'calcul intermédiaire3 graphique'!$A$2:$G$13,COLUMN(I$1),FALSE))=16,"",VLOOKUP($A66,'calcul intermédiaire3 graphique'!$A$2:$G$13,COLUMN(I$1),FALSE))</f>
        <v/>
      </c>
    </row>
    <row r="67" spans="1:9" x14ac:dyDescent="0.2">
      <c r="A67">
        <v>1971</v>
      </c>
      <c r="B67" s="15" t="str">
        <f>IF(TYPE(VLOOKUP($A67,'calcul intermédiaire3 graphique'!$A$2:$G$13,COLUMN(B$1),FALSE))=16,"",VLOOKUP($A67,'calcul intermédiaire3 graphique'!$A$2:$G$13,COLUMN(B$1),FALSE))</f>
        <v/>
      </c>
      <c r="C67" s="15" t="str">
        <f>IF(TYPE(VLOOKUP($A67,'calcul intermédiaire3 graphique'!$A$2:$G$13,COLUMN(C$1),FALSE))=16,"",VLOOKUP($A67,'calcul intermédiaire3 graphique'!$A$2:$G$13,COLUMN(C$1),FALSE))</f>
        <v/>
      </c>
      <c r="D67" s="15" t="str">
        <f>IF(TYPE(VLOOKUP($A67,'calcul intermédiaire3 graphique'!$A$2:$G$13,COLUMN(D$1),FALSE))=16,"",VLOOKUP($A67,'calcul intermédiaire3 graphique'!$A$2:$G$13,COLUMN(D$1),FALSE))</f>
        <v/>
      </c>
      <c r="E67" s="15" t="str">
        <f>IF(TYPE(VLOOKUP($A67,'calcul intermédiaire3 graphique'!$A$2:$G$13,COLUMN(E$1),FALSE))=16,"",VLOOKUP($A67,'calcul intermédiaire3 graphique'!$A$2:$G$13,COLUMN(E$1),FALSE))</f>
        <v/>
      </c>
      <c r="F67" s="15" t="str">
        <f>IF(TYPE(VLOOKUP($A67,'calcul intermédiaire3 graphique'!$A$2:$G$13,COLUMN(F$1),FALSE))=16,"",VLOOKUP($A67,'calcul intermédiaire3 graphique'!$A$2:$G$13,COLUMN(F$1),FALSE))</f>
        <v/>
      </c>
      <c r="G67" s="15" t="str">
        <f>IF(TYPE(VLOOKUP($A67,'calcul intermédiaire3 graphique'!$A$2:$G$13,COLUMN(G$1),FALSE))=16,"",VLOOKUP($A67,'calcul intermédiaire3 graphique'!$A$2:$G$13,COLUMN(G$1),FALSE))</f>
        <v/>
      </c>
      <c r="H67" s="15">
        <v>3</v>
      </c>
      <c r="I67" s="15" t="str">
        <f>IF(TYPE(VLOOKUP($A67,'calcul intermédiaire3 graphique'!$A$2:$G$13,COLUMN(I$1),FALSE))=16,"",VLOOKUP($A67,'calcul intermédiaire3 graphique'!$A$2:$G$13,COLUMN(I$1),FALSE))</f>
        <v/>
      </c>
    </row>
    <row r="68" spans="1:9" x14ac:dyDescent="0.2">
      <c r="A68">
        <v>1972</v>
      </c>
      <c r="B68" s="15" t="str">
        <f>IF(TYPE(VLOOKUP($A68,'calcul intermédiaire3 graphique'!$A$2:$G$13,COLUMN(B$1),FALSE))=16,"",VLOOKUP($A68,'calcul intermédiaire3 graphique'!$A$2:$G$13,COLUMN(B$1),FALSE))</f>
        <v/>
      </c>
      <c r="C68" s="15" t="str">
        <f>IF(TYPE(VLOOKUP($A68,'calcul intermédiaire3 graphique'!$A$2:$G$13,COLUMN(C$1),FALSE))=16,"",VLOOKUP($A68,'calcul intermédiaire3 graphique'!$A$2:$G$13,COLUMN(C$1),FALSE))</f>
        <v/>
      </c>
      <c r="D68" s="15" t="str">
        <f>IF(TYPE(VLOOKUP($A68,'calcul intermédiaire3 graphique'!$A$2:$G$13,COLUMN(D$1),FALSE))=16,"",VLOOKUP($A68,'calcul intermédiaire3 graphique'!$A$2:$G$13,COLUMN(D$1),FALSE))</f>
        <v/>
      </c>
      <c r="E68" s="15" t="str">
        <f>IF(TYPE(VLOOKUP($A68,'calcul intermédiaire3 graphique'!$A$2:$G$13,COLUMN(E$1),FALSE))=16,"",VLOOKUP($A68,'calcul intermédiaire3 graphique'!$A$2:$G$13,COLUMN(E$1),FALSE))</f>
        <v/>
      </c>
      <c r="F68" s="15" t="str">
        <f>IF(TYPE(VLOOKUP($A68,'calcul intermédiaire3 graphique'!$A$2:$G$13,COLUMN(F$1),FALSE))=16,"",VLOOKUP($A68,'calcul intermédiaire3 graphique'!$A$2:$G$13,COLUMN(F$1),FALSE))</f>
        <v/>
      </c>
      <c r="G68" s="15" t="str">
        <f>IF(TYPE(VLOOKUP($A68,'calcul intermédiaire3 graphique'!$A$2:$G$13,COLUMN(G$1),FALSE))=16,"",VLOOKUP($A68,'calcul intermédiaire3 graphique'!$A$2:$G$13,COLUMN(G$1),FALSE))</f>
        <v/>
      </c>
      <c r="H68" s="15">
        <v>4</v>
      </c>
      <c r="I68" s="15" t="str">
        <f>IF(TYPE(VLOOKUP($A68,'calcul intermédiaire3 graphique'!$A$2:$G$13,COLUMN(I$1),FALSE))=16,"",VLOOKUP($A68,'calcul intermédiaire3 graphique'!$A$2:$G$13,COLUMN(I$1),FALSE))</f>
        <v/>
      </c>
    </row>
    <row r="69" spans="1:9" x14ac:dyDescent="0.2">
      <c r="A69">
        <v>1973</v>
      </c>
      <c r="B69" s="15" t="str">
        <f>IF(TYPE(VLOOKUP($A69,'calcul intermédiaire3 graphique'!$A$2:$G$13,COLUMN(B$1),FALSE))=16,"",VLOOKUP($A69,'calcul intermédiaire3 graphique'!$A$2:$G$13,COLUMN(B$1),FALSE))</f>
        <v/>
      </c>
      <c r="C69" s="15" t="str">
        <f>IF(TYPE(VLOOKUP($A69,'calcul intermédiaire3 graphique'!$A$2:$G$13,COLUMN(C$1),FALSE))=16,"",VLOOKUP($A69,'calcul intermédiaire3 graphique'!$A$2:$G$13,COLUMN(C$1),FALSE))</f>
        <v/>
      </c>
      <c r="D69" s="15" t="str">
        <f>IF(TYPE(VLOOKUP($A69,'calcul intermédiaire3 graphique'!$A$2:$G$13,COLUMN(D$1),FALSE))=16,"",VLOOKUP($A69,'calcul intermédiaire3 graphique'!$A$2:$G$13,COLUMN(D$1),FALSE))</f>
        <v/>
      </c>
      <c r="E69" s="15" t="str">
        <f>IF(TYPE(VLOOKUP($A69,'calcul intermédiaire3 graphique'!$A$2:$G$13,COLUMN(E$1),FALSE))=16,"",VLOOKUP($A69,'calcul intermédiaire3 graphique'!$A$2:$G$13,COLUMN(E$1),FALSE))</f>
        <v/>
      </c>
      <c r="F69" s="15" t="str">
        <f>IF(TYPE(VLOOKUP($A69,'calcul intermédiaire3 graphique'!$A$2:$G$13,COLUMN(F$1),FALSE))=16,"",VLOOKUP($A69,'calcul intermédiaire3 graphique'!$A$2:$G$13,COLUMN(F$1),FALSE))</f>
        <v/>
      </c>
      <c r="G69" s="15" t="str">
        <f>IF(TYPE(VLOOKUP($A69,'calcul intermédiaire3 graphique'!$A$2:$G$13,COLUMN(G$1),FALSE))=16,"",VLOOKUP($A69,'calcul intermédiaire3 graphique'!$A$2:$G$13,COLUMN(G$1),FALSE))</f>
        <v/>
      </c>
      <c r="H69" s="15">
        <v>5</v>
      </c>
      <c r="I69" s="15" t="str">
        <f>IF(TYPE(VLOOKUP($A69,'calcul intermédiaire3 graphique'!$A$2:$G$13,COLUMN(I$1),FALSE))=16,"",VLOOKUP($A69,'calcul intermédiaire3 graphique'!$A$2:$G$13,COLUMN(I$1),FALSE))</f>
        <v/>
      </c>
    </row>
    <row r="70" spans="1:9" x14ac:dyDescent="0.2">
      <c r="A70">
        <v>1974</v>
      </c>
      <c r="B70" s="15">
        <f>IF(TYPE(VLOOKUP($A70,'calcul intermédiaire3 graphique'!$A$2:$G$13,COLUMN(B$1),FALSE))=16,"",VLOOKUP($A70,'calcul intermédiaire3 graphique'!$A$2:$G$13,COLUMN(B$1),FALSE))</f>
        <v>1277.5999999999999</v>
      </c>
      <c r="C70" s="15">
        <f>IF(TYPE(VLOOKUP($A70,'calcul intermédiaire3 graphique'!$A$2:$G$13,COLUMN(C$1),FALSE))=16,"",VLOOKUP($A70,'calcul intermédiaire3 graphique'!$A$2:$G$13,COLUMN(C$1),FALSE))</f>
        <v>1793.5</v>
      </c>
      <c r="D70" s="15">
        <f>IF(TYPE(VLOOKUP($A70,'calcul intermédiaire3 graphique'!$A$2:$G$13,COLUMN(D$1),FALSE))=16,"",VLOOKUP($A70,'calcul intermédiaire3 graphique'!$A$2:$G$13,COLUMN(D$1),FALSE))</f>
        <v>2677.3</v>
      </c>
      <c r="E70" s="15">
        <f>IF(TYPE(VLOOKUP($A70,'calcul intermédiaire3 graphique'!$A$2:$G$13,COLUMN(E$1),FALSE))=16,"",VLOOKUP($A70,'calcul intermédiaire3 graphique'!$A$2:$G$13,COLUMN(E$1),FALSE))</f>
        <v>1037.8</v>
      </c>
      <c r="F70" s="15">
        <f>IF(TYPE(VLOOKUP($A70,'calcul intermédiaire3 graphique'!$A$2:$G$13,COLUMN(F$1),FALSE))=16,"",VLOOKUP($A70,'calcul intermédiaire3 graphique'!$A$2:$G$13,COLUMN(F$1),FALSE))</f>
        <v>511</v>
      </c>
      <c r="G70" s="15">
        <f>IF(TYPE(VLOOKUP($A70,'calcul intermédiaire3 graphique'!$A$2:$G$13,COLUMN(G$1),FALSE))=16,"",VLOOKUP($A70,'calcul intermédiaire3 graphique'!$A$2:$G$13,COLUMN(G$1),FALSE))</f>
        <v>75.7</v>
      </c>
      <c r="H70" s="15" t="str">
        <f>IF(TYPE(VLOOKUP($A70,'calcul intermédiaire3 graphique'!$A$2:$G$13,COLUMN(H$1),FALSE))=16,"",VLOOKUP($A70,'calcul intermédiaire3 graphique'!$A$2:$G$13,COLUMN(H$1),FALSE))</f>
        <v/>
      </c>
      <c r="I70" s="15" t="str">
        <f>IF(TYPE(VLOOKUP($A70,'calcul intermédiaire3 graphique'!$A$2:$G$13,COLUMN(I$1),FALSE))=16,"",VLOOKUP($A70,'calcul intermédiaire3 graphique'!$A$2:$G$13,COLUMN(I$1),FALSE))</f>
        <v/>
      </c>
    </row>
    <row r="71" spans="1:9" x14ac:dyDescent="0.2">
      <c r="A71">
        <v>1975</v>
      </c>
      <c r="B71" s="15" t="str">
        <f>IF(TYPE(VLOOKUP($A71,'calcul intermédiaire3 graphique'!$A$2:$G$13,COLUMN(B$1),FALSE))=16,"",VLOOKUP($A71,'calcul intermédiaire3 graphique'!$A$2:$G$13,COLUMN(B$1),FALSE))</f>
        <v/>
      </c>
      <c r="C71" s="15" t="str">
        <f>IF(TYPE(VLOOKUP($A71,'calcul intermédiaire3 graphique'!$A$2:$G$13,COLUMN(C$1),FALSE))=16,"",VLOOKUP($A71,'calcul intermédiaire3 graphique'!$A$2:$G$13,COLUMN(C$1),FALSE))</f>
        <v/>
      </c>
      <c r="D71" s="15" t="str">
        <f>IF(TYPE(VLOOKUP($A71,'calcul intermédiaire3 graphique'!$A$2:$G$13,COLUMN(D$1),FALSE))=16,"",VLOOKUP($A71,'calcul intermédiaire3 graphique'!$A$2:$G$13,COLUMN(D$1),FALSE))</f>
        <v/>
      </c>
      <c r="E71" s="15" t="str">
        <f>IF(TYPE(VLOOKUP($A71,'calcul intermédiaire3 graphique'!$A$2:$G$13,COLUMN(E$1),FALSE))=16,"",VLOOKUP($A71,'calcul intermédiaire3 graphique'!$A$2:$G$13,COLUMN(E$1),FALSE))</f>
        <v/>
      </c>
      <c r="F71" s="15" t="str">
        <f>IF(TYPE(VLOOKUP($A71,'calcul intermédiaire3 graphique'!$A$2:$G$13,COLUMN(F$1),FALSE))=16,"",VLOOKUP($A71,'calcul intermédiaire3 graphique'!$A$2:$G$13,COLUMN(F$1),FALSE))</f>
        <v/>
      </c>
      <c r="G71" s="15" t="str">
        <f>IF(TYPE(VLOOKUP($A71,'calcul intermédiaire3 graphique'!$A$2:$G$13,COLUMN(G$1),FALSE))=16,"",VLOOKUP($A71,'calcul intermédiaire3 graphique'!$A$2:$G$13,COLUMN(G$1),FALSE))</f>
        <v/>
      </c>
      <c r="H71" s="15">
        <v>1</v>
      </c>
      <c r="I71" s="15" t="str">
        <f>IF(TYPE(VLOOKUP($A71,'calcul intermédiaire3 graphique'!$A$2:$G$13,COLUMN(I$1),FALSE))=16,"",VLOOKUP($A71,'calcul intermédiaire3 graphique'!$A$2:$G$13,COLUMN(I$1),FALSE))</f>
        <v/>
      </c>
    </row>
    <row r="72" spans="1:9" x14ac:dyDescent="0.2">
      <c r="A72">
        <v>1976</v>
      </c>
      <c r="B72" s="15" t="str">
        <f>IF(TYPE(VLOOKUP($A72,'calcul intermédiaire3 graphique'!$A$2:$G$13,COLUMN(B$1),FALSE))=16,"",VLOOKUP($A72,'calcul intermédiaire3 graphique'!$A$2:$G$13,COLUMN(B$1),FALSE))</f>
        <v/>
      </c>
      <c r="C72" s="15" t="str">
        <f>IF(TYPE(VLOOKUP($A72,'calcul intermédiaire3 graphique'!$A$2:$G$13,COLUMN(C$1),FALSE))=16,"",VLOOKUP($A72,'calcul intermédiaire3 graphique'!$A$2:$G$13,COLUMN(C$1),FALSE))</f>
        <v/>
      </c>
      <c r="D72" s="15" t="str">
        <f>IF(TYPE(VLOOKUP($A72,'calcul intermédiaire3 graphique'!$A$2:$G$13,COLUMN(D$1),FALSE))=16,"",VLOOKUP($A72,'calcul intermédiaire3 graphique'!$A$2:$G$13,COLUMN(D$1),FALSE))</f>
        <v/>
      </c>
      <c r="E72" s="15" t="str">
        <f>IF(TYPE(VLOOKUP($A72,'calcul intermédiaire3 graphique'!$A$2:$G$13,COLUMN(E$1),FALSE))=16,"",VLOOKUP($A72,'calcul intermédiaire3 graphique'!$A$2:$G$13,COLUMN(E$1),FALSE))</f>
        <v/>
      </c>
      <c r="F72" s="15" t="str">
        <f>IF(TYPE(VLOOKUP($A72,'calcul intermédiaire3 graphique'!$A$2:$G$13,COLUMN(F$1),FALSE))=16,"",VLOOKUP($A72,'calcul intermédiaire3 graphique'!$A$2:$G$13,COLUMN(F$1),FALSE))</f>
        <v/>
      </c>
      <c r="G72" s="15" t="str">
        <f>IF(TYPE(VLOOKUP($A72,'calcul intermédiaire3 graphique'!$A$2:$G$13,COLUMN(G$1),FALSE))=16,"",VLOOKUP($A72,'calcul intermédiaire3 graphique'!$A$2:$G$13,COLUMN(G$1),FALSE))</f>
        <v/>
      </c>
      <c r="H72" s="15">
        <v>2</v>
      </c>
      <c r="I72" s="15" t="str">
        <f>IF(TYPE(VLOOKUP($A72,'calcul intermédiaire3 graphique'!$A$2:$G$13,COLUMN(I$1),FALSE))=16,"",VLOOKUP($A72,'calcul intermédiaire3 graphique'!$A$2:$G$13,COLUMN(I$1),FALSE))</f>
        <v/>
      </c>
    </row>
    <row r="73" spans="1:9" x14ac:dyDescent="0.2">
      <c r="A73">
        <v>1977</v>
      </c>
      <c r="B73" s="15" t="str">
        <f>IF(TYPE(VLOOKUP($A73,'calcul intermédiaire3 graphique'!$A$2:$G$13,COLUMN(B$1),FALSE))=16,"",VLOOKUP($A73,'calcul intermédiaire3 graphique'!$A$2:$G$13,COLUMN(B$1),FALSE))</f>
        <v/>
      </c>
      <c r="C73" s="15" t="str">
        <f>IF(TYPE(VLOOKUP($A73,'calcul intermédiaire3 graphique'!$A$2:$G$13,COLUMN(C$1),FALSE))=16,"",VLOOKUP($A73,'calcul intermédiaire3 graphique'!$A$2:$G$13,COLUMN(C$1),FALSE))</f>
        <v/>
      </c>
      <c r="D73" s="15" t="str">
        <f>IF(TYPE(VLOOKUP($A73,'calcul intermédiaire3 graphique'!$A$2:$G$13,COLUMN(D$1),FALSE))=16,"",VLOOKUP($A73,'calcul intermédiaire3 graphique'!$A$2:$G$13,COLUMN(D$1),FALSE))</f>
        <v/>
      </c>
      <c r="E73" s="15" t="str">
        <f>IF(TYPE(VLOOKUP($A73,'calcul intermédiaire3 graphique'!$A$2:$G$13,COLUMN(E$1),FALSE))=16,"",VLOOKUP($A73,'calcul intermédiaire3 graphique'!$A$2:$G$13,COLUMN(E$1),FALSE))</f>
        <v/>
      </c>
      <c r="F73" s="15" t="str">
        <f>IF(TYPE(VLOOKUP($A73,'calcul intermédiaire3 graphique'!$A$2:$G$13,COLUMN(F$1),FALSE))=16,"",VLOOKUP($A73,'calcul intermédiaire3 graphique'!$A$2:$G$13,COLUMN(F$1),FALSE))</f>
        <v/>
      </c>
      <c r="G73" s="15" t="str">
        <f>IF(TYPE(VLOOKUP($A73,'calcul intermédiaire3 graphique'!$A$2:$G$13,COLUMN(G$1),FALSE))=16,"",VLOOKUP($A73,'calcul intermédiaire3 graphique'!$A$2:$G$13,COLUMN(G$1),FALSE))</f>
        <v/>
      </c>
      <c r="H73" s="15">
        <v>3</v>
      </c>
      <c r="I73" s="15" t="str">
        <f>IF(TYPE(VLOOKUP($A73,'calcul intermédiaire3 graphique'!$A$2:$G$13,COLUMN(I$1),FALSE))=16,"",VLOOKUP($A73,'calcul intermédiaire3 graphique'!$A$2:$G$13,COLUMN(I$1),FALSE))</f>
        <v/>
      </c>
    </row>
    <row r="74" spans="1:9" x14ac:dyDescent="0.2">
      <c r="A74">
        <v>1978</v>
      </c>
      <c r="B74" s="15" t="str">
        <f>IF(TYPE(VLOOKUP($A74,'calcul intermédiaire3 graphique'!$A$2:$G$13,COLUMN(B$1),FALSE))=16,"",VLOOKUP($A74,'calcul intermédiaire3 graphique'!$A$2:$G$13,COLUMN(B$1),FALSE))</f>
        <v/>
      </c>
      <c r="C74" s="15" t="str">
        <f>IF(TYPE(VLOOKUP($A74,'calcul intermédiaire3 graphique'!$A$2:$G$13,COLUMN(C$1),FALSE))=16,"",VLOOKUP($A74,'calcul intermédiaire3 graphique'!$A$2:$G$13,COLUMN(C$1),FALSE))</f>
        <v/>
      </c>
      <c r="D74" s="15" t="str">
        <f>IF(TYPE(VLOOKUP($A74,'calcul intermédiaire3 graphique'!$A$2:$G$13,COLUMN(D$1),FALSE))=16,"",VLOOKUP($A74,'calcul intermédiaire3 graphique'!$A$2:$G$13,COLUMN(D$1),FALSE))</f>
        <v/>
      </c>
      <c r="E74" s="15" t="str">
        <f>IF(TYPE(VLOOKUP($A74,'calcul intermédiaire3 graphique'!$A$2:$G$13,COLUMN(E$1),FALSE))=16,"",VLOOKUP($A74,'calcul intermédiaire3 graphique'!$A$2:$G$13,COLUMN(E$1),FALSE))</f>
        <v/>
      </c>
      <c r="F74" s="15" t="str">
        <f>IF(TYPE(VLOOKUP($A74,'calcul intermédiaire3 graphique'!$A$2:$G$13,COLUMN(F$1),FALSE))=16,"",VLOOKUP($A74,'calcul intermédiaire3 graphique'!$A$2:$G$13,COLUMN(F$1),FALSE))</f>
        <v/>
      </c>
      <c r="G74" s="15" t="str">
        <f>IF(TYPE(VLOOKUP($A74,'calcul intermédiaire3 graphique'!$A$2:$G$13,COLUMN(G$1),FALSE))=16,"",VLOOKUP($A74,'calcul intermédiaire3 graphique'!$A$2:$G$13,COLUMN(G$1),FALSE))</f>
        <v/>
      </c>
      <c r="H74" s="15">
        <v>4</v>
      </c>
      <c r="I74" s="15" t="str">
        <f>IF(TYPE(VLOOKUP($A74,'calcul intermédiaire3 graphique'!$A$2:$G$13,COLUMN(I$1),FALSE))=16,"",VLOOKUP($A74,'calcul intermédiaire3 graphique'!$A$2:$G$13,COLUMN(I$1),FALSE))</f>
        <v/>
      </c>
    </row>
    <row r="75" spans="1:9" x14ac:dyDescent="0.2">
      <c r="A75">
        <v>1979</v>
      </c>
      <c r="B75" s="15" t="str">
        <f>IF(TYPE(VLOOKUP($A75,'calcul intermédiaire3 graphique'!$A$2:$G$13,COLUMN(B$1),FALSE))=16,"",VLOOKUP($A75,'calcul intermédiaire3 graphique'!$A$2:$G$13,COLUMN(B$1),FALSE))</f>
        <v/>
      </c>
      <c r="C75" s="15" t="str">
        <f>IF(TYPE(VLOOKUP($A75,'calcul intermédiaire3 graphique'!$A$2:$G$13,COLUMN(C$1),FALSE))=16,"",VLOOKUP($A75,'calcul intermédiaire3 graphique'!$A$2:$G$13,COLUMN(C$1),FALSE))</f>
        <v/>
      </c>
      <c r="D75" s="15" t="str">
        <f>IF(TYPE(VLOOKUP($A75,'calcul intermédiaire3 graphique'!$A$2:$G$13,COLUMN(D$1),FALSE))=16,"",VLOOKUP($A75,'calcul intermédiaire3 graphique'!$A$2:$G$13,COLUMN(D$1),FALSE))</f>
        <v/>
      </c>
      <c r="E75" s="15" t="str">
        <f>IF(TYPE(VLOOKUP($A75,'calcul intermédiaire3 graphique'!$A$2:$G$13,COLUMN(E$1),FALSE))=16,"",VLOOKUP($A75,'calcul intermédiaire3 graphique'!$A$2:$G$13,COLUMN(E$1),FALSE))</f>
        <v/>
      </c>
      <c r="F75" s="15" t="str">
        <f>IF(TYPE(VLOOKUP($A75,'calcul intermédiaire3 graphique'!$A$2:$G$13,COLUMN(F$1),FALSE))=16,"",VLOOKUP($A75,'calcul intermédiaire3 graphique'!$A$2:$G$13,COLUMN(F$1),FALSE))</f>
        <v/>
      </c>
      <c r="G75" s="15" t="str">
        <f>IF(TYPE(VLOOKUP($A75,'calcul intermédiaire3 graphique'!$A$2:$G$13,COLUMN(G$1),FALSE))=16,"",VLOOKUP($A75,'calcul intermédiaire3 graphique'!$A$2:$G$13,COLUMN(G$1),FALSE))</f>
        <v/>
      </c>
      <c r="H75" s="15">
        <v>5</v>
      </c>
      <c r="I75" s="15" t="str">
        <f>IF(TYPE(VLOOKUP($A75,'calcul intermédiaire3 graphique'!$A$2:$G$13,COLUMN(I$1),FALSE))=16,"",VLOOKUP($A75,'calcul intermédiaire3 graphique'!$A$2:$G$13,COLUMN(I$1),FALSE))</f>
        <v/>
      </c>
    </row>
    <row r="76" spans="1:9" x14ac:dyDescent="0.2">
      <c r="A76">
        <v>1980</v>
      </c>
      <c r="B76" s="15">
        <f>IF(TYPE(VLOOKUP($A76,'calcul intermédiaire3 graphique'!$A$2:$G$13,COLUMN(B$1),FALSE))=16,"",VLOOKUP($A76,'calcul intermédiaire3 graphique'!$A$2:$G$13,COLUMN(B$1),FALSE))</f>
        <v>1574.9</v>
      </c>
      <c r="C76" s="15">
        <f>IF(TYPE(VLOOKUP($A76,'calcul intermédiaire3 graphique'!$A$2:$G$13,COLUMN(C$1),FALSE))=16,"",VLOOKUP($A76,'calcul intermédiaire3 graphique'!$A$2:$G$13,COLUMN(C$1),FALSE))</f>
        <v>2036.1</v>
      </c>
      <c r="D76" s="15">
        <f>IF(TYPE(VLOOKUP($A76,'calcul intermédiaire3 graphique'!$A$2:$G$13,COLUMN(D$1),FALSE))=16,"",VLOOKUP($A76,'calcul intermédiaire3 graphique'!$A$2:$G$13,COLUMN(D$1),FALSE))</f>
        <v>2830.9</v>
      </c>
      <c r="E76" s="15">
        <f>IF(TYPE(VLOOKUP($A76,'calcul intermédiaire3 graphique'!$A$2:$G$13,COLUMN(E$1),FALSE))=16,"",VLOOKUP($A76,'calcul intermédiaire3 graphique'!$A$2:$G$13,COLUMN(E$1),FALSE))</f>
        <v>1110.7</v>
      </c>
      <c r="F76" s="15">
        <f>IF(TYPE(VLOOKUP($A76,'calcul intermédiaire3 graphique'!$A$2:$G$13,COLUMN(F$1),FALSE))=16,"",VLOOKUP($A76,'calcul intermédiaire3 graphique'!$A$2:$G$13,COLUMN(F$1),FALSE))</f>
        <v>508.9</v>
      </c>
      <c r="G76" s="15">
        <f>IF(TYPE(VLOOKUP($A76,'calcul intermédiaire3 graphique'!$A$2:$G$13,COLUMN(G$1),FALSE))=16,"",VLOOKUP($A76,'calcul intermédiaire3 graphique'!$A$2:$G$13,COLUMN(G$1),FALSE))</f>
        <v>58.4</v>
      </c>
      <c r="H76" s="15" t="str">
        <f>IF(TYPE(VLOOKUP($A76,'calcul intermédiaire3 graphique'!$A$2:$G$13,COLUMN(H$1),FALSE))=16,"",VLOOKUP($A76,'calcul intermédiaire3 graphique'!$A$2:$G$13,COLUMN(H$1),FALSE))</f>
        <v/>
      </c>
      <c r="I76" s="15" t="str">
        <f>IF(TYPE(VLOOKUP($A76,'calcul intermédiaire3 graphique'!$A$2:$G$13,COLUMN(I$1),FALSE))=16,"",VLOOKUP($A76,'calcul intermédiaire3 graphique'!$A$2:$G$13,COLUMN(I$1),FALSE))</f>
        <v/>
      </c>
    </row>
    <row r="77" spans="1:9" x14ac:dyDescent="0.2">
      <c r="A77">
        <v>1981</v>
      </c>
      <c r="B77" s="15" t="str">
        <f>IF(TYPE(VLOOKUP($A77,'calcul intermédiaire3 graphique'!$A$2:$G$13,COLUMN(B$1),FALSE))=16,"",VLOOKUP($A77,'calcul intermédiaire3 graphique'!$A$2:$G$13,COLUMN(B$1),FALSE))</f>
        <v/>
      </c>
      <c r="C77" s="15" t="str">
        <f>IF(TYPE(VLOOKUP($A77,'calcul intermédiaire3 graphique'!$A$2:$G$13,COLUMN(C$1),FALSE))=16,"",VLOOKUP($A77,'calcul intermédiaire3 graphique'!$A$2:$G$13,COLUMN(C$1),FALSE))</f>
        <v/>
      </c>
      <c r="D77" s="15" t="str">
        <f>IF(TYPE(VLOOKUP($A77,'calcul intermédiaire3 graphique'!$A$2:$G$13,COLUMN(D$1),FALSE))=16,"",VLOOKUP($A77,'calcul intermédiaire3 graphique'!$A$2:$G$13,COLUMN(D$1),FALSE))</f>
        <v/>
      </c>
      <c r="E77" s="15" t="str">
        <f>IF(TYPE(VLOOKUP($A77,'calcul intermédiaire3 graphique'!$A$2:$G$13,COLUMN(E$1),FALSE))=16,"",VLOOKUP($A77,'calcul intermédiaire3 graphique'!$A$2:$G$13,COLUMN(E$1),FALSE))</f>
        <v/>
      </c>
      <c r="F77" s="15" t="str">
        <f>IF(TYPE(VLOOKUP($A77,'calcul intermédiaire3 graphique'!$A$2:$G$13,COLUMN(F$1),FALSE))=16,"",VLOOKUP($A77,'calcul intermédiaire3 graphique'!$A$2:$G$13,COLUMN(F$1),FALSE))</f>
        <v/>
      </c>
      <c r="G77" s="15" t="str">
        <f>IF(TYPE(VLOOKUP($A77,'calcul intermédiaire3 graphique'!$A$2:$G$13,COLUMN(G$1),FALSE))=16,"",VLOOKUP($A77,'calcul intermédiaire3 graphique'!$A$2:$G$13,COLUMN(G$1),FALSE))</f>
        <v/>
      </c>
      <c r="H77" s="15">
        <v>1</v>
      </c>
      <c r="I77" s="15" t="str">
        <f>IF(TYPE(VLOOKUP($A77,'calcul intermédiaire3 graphique'!$A$2:$G$13,COLUMN(I$1),FALSE))=16,"",VLOOKUP($A77,'calcul intermédiaire3 graphique'!$A$2:$G$13,COLUMN(I$1),FALSE))</f>
        <v/>
      </c>
    </row>
    <row r="78" spans="1:9" x14ac:dyDescent="0.2">
      <c r="A78">
        <v>1982</v>
      </c>
      <c r="B78" s="15" t="str">
        <f>IF(TYPE(VLOOKUP($A78,'calcul intermédiaire3 graphique'!$A$2:$G$13,COLUMN(B$1),FALSE))=16,"",VLOOKUP($A78,'calcul intermédiaire3 graphique'!$A$2:$G$13,COLUMN(B$1),FALSE))</f>
        <v/>
      </c>
      <c r="C78" s="15" t="str">
        <f>IF(TYPE(VLOOKUP($A78,'calcul intermédiaire3 graphique'!$A$2:$G$13,COLUMN(C$1),FALSE))=16,"",VLOOKUP($A78,'calcul intermédiaire3 graphique'!$A$2:$G$13,COLUMN(C$1),FALSE))</f>
        <v/>
      </c>
      <c r="D78" s="15" t="str">
        <f>IF(TYPE(VLOOKUP($A78,'calcul intermédiaire3 graphique'!$A$2:$G$13,COLUMN(D$1),FALSE))=16,"",VLOOKUP($A78,'calcul intermédiaire3 graphique'!$A$2:$G$13,COLUMN(D$1),FALSE))</f>
        <v/>
      </c>
      <c r="E78" s="15" t="str">
        <f>IF(TYPE(VLOOKUP($A78,'calcul intermédiaire3 graphique'!$A$2:$G$13,COLUMN(E$1),FALSE))=16,"",VLOOKUP($A78,'calcul intermédiaire3 graphique'!$A$2:$G$13,COLUMN(E$1),FALSE))</f>
        <v/>
      </c>
      <c r="F78" s="15" t="str">
        <f>IF(TYPE(VLOOKUP($A78,'calcul intermédiaire3 graphique'!$A$2:$G$13,COLUMN(F$1),FALSE))=16,"",VLOOKUP($A78,'calcul intermédiaire3 graphique'!$A$2:$G$13,COLUMN(F$1),FALSE))</f>
        <v/>
      </c>
      <c r="G78" s="15" t="str">
        <f>IF(TYPE(VLOOKUP($A78,'calcul intermédiaire3 graphique'!$A$2:$G$13,COLUMN(G$1),FALSE))=16,"",VLOOKUP($A78,'calcul intermédiaire3 graphique'!$A$2:$G$13,COLUMN(G$1),FALSE))</f>
        <v/>
      </c>
      <c r="H78" s="15">
        <v>2</v>
      </c>
      <c r="I78" s="15" t="str">
        <f>IF(TYPE(VLOOKUP($A78,'calcul intermédiaire3 graphique'!$A$2:$G$13,COLUMN(I$1),FALSE))=16,"",VLOOKUP($A78,'calcul intermédiaire3 graphique'!$A$2:$G$13,COLUMN(I$1),FALSE))</f>
        <v/>
      </c>
    </row>
    <row r="79" spans="1:9" x14ac:dyDescent="0.2">
      <c r="A79">
        <v>1983</v>
      </c>
      <c r="B79" s="15" t="str">
        <f>IF(TYPE(VLOOKUP($A79,'calcul intermédiaire3 graphique'!$A$2:$G$13,COLUMN(B$1),FALSE))=16,"",VLOOKUP($A79,'calcul intermédiaire3 graphique'!$A$2:$G$13,COLUMN(B$1),FALSE))</f>
        <v/>
      </c>
      <c r="C79" s="15" t="str">
        <f>IF(TYPE(VLOOKUP($A79,'calcul intermédiaire3 graphique'!$A$2:$G$13,COLUMN(C$1),FALSE))=16,"",VLOOKUP($A79,'calcul intermédiaire3 graphique'!$A$2:$G$13,COLUMN(C$1),FALSE))</f>
        <v/>
      </c>
      <c r="D79" s="15" t="str">
        <f>IF(TYPE(VLOOKUP($A79,'calcul intermédiaire3 graphique'!$A$2:$G$13,COLUMN(D$1),FALSE))=16,"",VLOOKUP($A79,'calcul intermédiaire3 graphique'!$A$2:$G$13,COLUMN(D$1),FALSE))</f>
        <v/>
      </c>
      <c r="E79" s="15" t="str">
        <f>IF(TYPE(VLOOKUP($A79,'calcul intermédiaire3 graphique'!$A$2:$G$13,COLUMN(E$1),FALSE))=16,"",VLOOKUP($A79,'calcul intermédiaire3 graphique'!$A$2:$G$13,COLUMN(E$1),FALSE))</f>
        <v/>
      </c>
      <c r="F79" s="15" t="str">
        <f>IF(TYPE(VLOOKUP($A79,'calcul intermédiaire3 graphique'!$A$2:$G$13,COLUMN(F$1),FALSE))=16,"",VLOOKUP($A79,'calcul intermédiaire3 graphique'!$A$2:$G$13,COLUMN(F$1),FALSE))</f>
        <v/>
      </c>
      <c r="G79" s="15" t="str">
        <f>IF(TYPE(VLOOKUP($A79,'calcul intermédiaire3 graphique'!$A$2:$G$13,COLUMN(G$1),FALSE))=16,"",VLOOKUP($A79,'calcul intermédiaire3 graphique'!$A$2:$G$13,COLUMN(G$1),FALSE))</f>
        <v/>
      </c>
      <c r="H79" s="15">
        <v>3</v>
      </c>
      <c r="I79" s="15" t="str">
        <f>IF(TYPE(VLOOKUP($A79,'calcul intermédiaire3 graphique'!$A$2:$G$13,COLUMN(I$1),FALSE))=16,"",VLOOKUP($A79,'calcul intermédiaire3 graphique'!$A$2:$G$13,COLUMN(I$1),FALSE))</f>
        <v/>
      </c>
    </row>
    <row r="80" spans="1:9" x14ac:dyDescent="0.2">
      <c r="A80">
        <v>1984</v>
      </c>
      <c r="B80" s="15" t="str">
        <f>IF(TYPE(VLOOKUP($A80,'calcul intermédiaire3 graphique'!$A$2:$G$13,COLUMN(B$1),FALSE))=16,"",VLOOKUP($A80,'calcul intermédiaire3 graphique'!$A$2:$G$13,COLUMN(B$1),FALSE))</f>
        <v/>
      </c>
      <c r="C80" s="15" t="str">
        <f>IF(TYPE(VLOOKUP($A80,'calcul intermédiaire3 graphique'!$A$2:$G$13,COLUMN(C$1),FALSE))=16,"",VLOOKUP($A80,'calcul intermédiaire3 graphique'!$A$2:$G$13,COLUMN(C$1),FALSE))</f>
        <v/>
      </c>
      <c r="D80" s="15" t="str">
        <f>IF(TYPE(VLOOKUP($A80,'calcul intermédiaire3 graphique'!$A$2:$G$13,COLUMN(D$1),FALSE))=16,"",VLOOKUP($A80,'calcul intermédiaire3 graphique'!$A$2:$G$13,COLUMN(D$1),FALSE))</f>
        <v/>
      </c>
      <c r="E80" s="15" t="str">
        <f>IF(TYPE(VLOOKUP($A80,'calcul intermédiaire3 graphique'!$A$2:$G$13,COLUMN(E$1),FALSE))=16,"",VLOOKUP($A80,'calcul intermédiaire3 graphique'!$A$2:$G$13,COLUMN(E$1),FALSE))</f>
        <v/>
      </c>
      <c r="F80" s="15" t="str">
        <f>IF(TYPE(VLOOKUP($A80,'calcul intermédiaire3 graphique'!$A$2:$G$13,COLUMN(F$1),FALSE))=16,"",VLOOKUP($A80,'calcul intermédiaire3 graphique'!$A$2:$G$13,COLUMN(F$1),FALSE))</f>
        <v/>
      </c>
      <c r="G80" s="15" t="str">
        <f>IF(TYPE(VLOOKUP($A80,'calcul intermédiaire3 graphique'!$A$2:$G$13,COLUMN(G$1),FALSE))=16,"",VLOOKUP($A80,'calcul intermédiaire3 graphique'!$A$2:$G$13,COLUMN(G$1),FALSE))</f>
        <v/>
      </c>
      <c r="H80" s="15">
        <v>4</v>
      </c>
      <c r="I80" s="15" t="str">
        <f>IF(TYPE(VLOOKUP($A80,'calcul intermédiaire3 graphique'!$A$2:$G$13,COLUMN(I$1),FALSE))=16,"",VLOOKUP($A80,'calcul intermédiaire3 graphique'!$A$2:$G$13,COLUMN(I$1),FALSE))</f>
        <v/>
      </c>
    </row>
    <row r="81" spans="1:9" x14ac:dyDescent="0.2">
      <c r="A81">
        <v>1985</v>
      </c>
      <c r="B81" s="15" t="str">
        <f>IF(TYPE(VLOOKUP($A81,'calcul intermédiaire3 graphique'!$A$2:$G$13,COLUMN(B$1),FALSE))=16,"",VLOOKUP($A81,'calcul intermédiaire3 graphique'!$A$2:$G$13,COLUMN(B$1),FALSE))</f>
        <v/>
      </c>
      <c r="C81" s="15" t="str">
        <f>IF(TYPE(VLOOKUP($A81,'calcul intermédiaire3 graphique'!$A$2:$G$13,COLUMN(C$1),FALSE))=16,"",VLOOKUP($A81,'calcul intermédiaire3 graphique'!$A$2:$G$13,COLUMN(C$1),FALSE))</f>
        <v/>
      </c>
      <c r="D81" s="15" t="str">
        <f>IF(TYPE(VLOOKUP($A81,'calcul intermédiaire3 graphique'!$A$2:$G$13,COLUMN(D$1),FALSE))=16,"",VLOOKUP($A81,'calcul intermédiaire3 graphique'!$A$2:$G$13,COLUMN(D$1),FALSE))</f>
        <v/>
      </c>
      <c r="E81" s="15" t="str">
        <f>IF(TYPE(VLOOKUP($A81,'calcul intermédiaire3 graphique'!$A$2:$G$13,COLUMN(E$1),FALSE))=16,"",VLOOKUP($A81,'calcul intermédiaire3 graphique'!$A$2:$G$13,COLUMN(E$1),FALSE))</f>
        <v/>
      </c>
      <c r="F81" s="15" t="str">
        <f>IF(TYPE(VLOOKUP($A81,'calcul intermédiaire3 graphique'!$A$2:$G$13,COLUMN(F$1),FALSE))=16,"",VLOOKUP($A81,'calcul intermédiaire3 graphique'!$A$2:$G$13,COLUMN(F$1),FALSE))</f>
        <v/>
      </c>
      <c r="G81" s="15" t="str">
        <f>IF(TYPE(VLOOKUP($A81,'calcul intermédiaire3 graphique'!$A$2:$G$13,COLUMN(G$1),FALSE))=16,"",VLOOKUP($A81,'calcul intermédiaire3 graphique'!$A$2:$G$13,COLUMN(G$1),FALSE))</f>
        <v/>
      </c>
      <c r="H81" s="15">
        <v>5</v>
      </c>
      <c r="I81" s="15" t="str">
        <f>IF(TYPE(VLOOKUP($A81,'calcul intermédiaire3 graphique'!$A$2:$G$13,COLUMN(I$1),FALSE))=16,"",VLOOKUP($A81,'calcul intermédiaire3 graphique'!$A$2:$G$13,COLUMN(I$1),FALSE))</f>
        <v/>
      </c>
    </row>
    <row r="82" spans="1:9" x14ac:dyDescent="0.2">
      <c r="A82">
        <v>1986</v>
      </c>
      <c r="B82" s="15" t="str">
        <f>IF(TYPE(VLOOKUP($A82,'calcul intermédiaire3 graphique'!$A$2:$G$13,COLUMN(B$1),FALSE))=16,"",VLOOKUP($A82,'calcul intermédiaire3 graphique'!$A$2:$G$13,COLUMN(B$1),FALSE))</f>
        <v/>
      </c>
      <c r="C82" s="15" t="str">
        <f>IF(TYPE(VLOOKUP($A82,'calcul intermédiaire3 graphique'!$A$2:$G$13,COLUMN(C$1),FALSE))=16,"",VLOOKUP($A82,'calcul intermédiaire3 graphique'!$A$2:$G$13,COLUMN(C$1),FALSE))</f>
        <v/>
      </c>
      <c r="D82" s="15" t="str">
        <f>IF(TYPE(VLOOKUP($A82,'calcul intermédiaire3 graphique'!$A$2:$G$13,COLUMN(D$1),FALSE))=16,"",VLOOKUP($A82,'calcul intermédiaire3 graphique'!$A$2:$G$13,COLUMN(D$1),FALSE))</f>
        <v/>
      </c>
      <c r="E82" s="15" t="str">
        <f>IF(TYPE(VLOOKUP($A82,'calcul intermédiaire3 graphique'!$A$2:$G$13,COLUMN(E$1),FALSE))=16,"",VLOOKUP($A82,'calcul intermédiaire3 graphique'!$A$2:$G$13,COLUMN(E$1),FALSE))</f>
        <v/>
      </c>
      <c r="F82" s="15" t="str">
        <f>IF(TYPE(VLOOKUP($A82,'calcul intermédiaire3 graphique'!$A$2:$G$13,COLUMN(F$1),FALSE))=16,"",VLOOKUP($A82,'calcul intermédiaire3 graphique'!$A$2:$G$13,COLUMN(F$1),FALSE))</f>
        <v/>
      </c>
      <c r="G82" s="15" t="str">
        <f>IF(TYPE(VLOOKUP($A82,'calcul intermédiaire3 graphique'!$A$2:$G$13,COLUMN(G$1),FALSE))=16,"",VLOOKUP($A82,'calcul intermédiaire3 graphique'!$A$2:$G$13,COLUMN(G$1),FALSE))</f>
        <v/>
      </c>
      <c r="H82" s="15">
        <v>6</v>
      </c>
      <c r="I82" s="15" t="str">
        <f>IF(TYPE(VLOOKUP($A82,'calcul intermédiaire3 graphique'!$A$2:$G$13,COLUMN(I$1),FALSE))=16,"",VLOOKUP($A82,'calcul intermédiaire3 graphique'!$A$2:$G$13,COLUMN(I$1),FALSE))</f>
        <v/>
      </c>
    </row>
    <row r="83" spans="1:9" x14ac:dyDescent="0.2">
      <c r="A83">
        <v>1987</v>
      </c>
      <c r="B83" s="15" t="str">
        <f>IF(TYPE(VLOOKUP($A83,'calcul intermédiaire3 graphique'!$A$2:$G$13,COLUMN(B$1),FALSE))=16,"",VLOOKUP($A83,'calcul intermédiaire3 graphique'!$A$2:$G$13,COLUMN(B$1),FALSE))</f>
        <v/>
      </c>
      <c r="C83" s="15" t="str">
        <f>IF(TYPE(VLOOKUP($A83,'calcul intermédiaire3 graphique'!$A$2:$G$13,COLUMN(C$1),FALSE))=16,"",VLOOKUP($A83,'calcul intermédiaire3 graphique'!$A$2:$G$13,COLUMN(C$1),FALSE))</f>
        <v/>
      </c>
      <c r="D83" s="15" t="str">
        <f>IF(TYPE(VLOOKUP($A83,'calcul intermédiaire3 graphique'!$A$2:$G$13,COLUMN(D$1),FALSE))=16,"",VLOOKUP($A83,'calcul intermédiaire3 graphique'!$A$2:$G$13,COLUMN(D$1),FALSE))</f>
        <v/>
      </c>
      <c r="E83" s="15" t="str">
        <f>IF(TYPE(VLOOKUP($A83,'calcul intermédiaire3 graphique'!$A$2:$G$13,COLUMN(E$1),FALSE))=16,"",VLOOKUP($A83,'calcul intermédiaire3 graphique'!$A$2:$G$13,COLUMN(E$1),FALSE))</f>
        <v/>
      </c>
      <c r="F83" s="15" t="str">
        <f>IF(TYPE(VLOOKUP($A83,'calcul intermédiaire3 graphique'!$A$2:$G$13,COLUMN(F$1),FALSE))=16,"",VLOOKUP($A83,'calcul intermédiaire3 graphique'!$A$2:$G$13,COLUMN(F$1),FALSE))</f>
        <v/>
      </c>
      <c r="G83" s="15" t="str">
        <f>IF(TYPE(VLOOKUP($A83,'calcul intermédiaire3 graphique'!$A$2:$G$13,COLUMN(G$1),FALSE))=16,"",VLOOKUP($A83,'calcul intermédiaire3 graphique'!$A$2:$G$13,COLUMN(G$1),FALSE))</f>
        <v/>
      </c>
      <c r="H83" s="15">
        <v>7</v>
      </c>
      <c r="I83" s="15" t="str">
        <f>IF(TYPE(VLOOKUP($A83,'calcul intermédiaire3 graphique'!$A$2:$G$13,COLUMN(I$1),FALSE))=16,"",VLOOKUP($A83,'calcul intermédiaire3 graphique'!$A$2:$G$13,COLUMN(I$1),FALSE))</f>
        <v/>
      </c>
    </row>
    <row r="84" spans="1:9" x14ac:dyDescent="0.2">
      <c r="A84">
        <v>1988</v>
      </c>
      <c r="B84" s="15" t="str">
        <f>IF(TYPE(VLOOKUP($A84,'calcul intermédiaire3 graphique'!$A$2:$G$13,COLUMN(B$1),FALSE))=16,"",VLOOKUP($A84,'calcul intermédiaire3 graphique'!$A$2:$G$13,COLUMN(B$1),FALSE))</f>
        <v/>
      </c>
      <c r="C84" s="15" t="str">
        <f>IF(TYPE(VLOOKUP($A84,'calcul intermédiaire3 graphique'!$A$2:$G$13,COLUMN(C$1),FALSE))=16,"",VLOOKUP($A84,'calcul intermédiaire3 graphique'!$A$2:$G$13,COLUMN(C$1),FALSE))</f>
        <v/>
      </c>
      <c r="D84" s="15" t="str">
        <f>IF(TYPE(VLOOKUP($A84,'calcul intermédiaire3 graphique'!$A$2:$G$13,COLUMN(D$1),FALSE))=16,"",VLOOKUP($A84,'calcul intermédiaire3 graphique'!$A$2:$G$13,COLUMN(D$1),FALSE))</f>
        <v/>
      </c>
      <c r="E84" s="15" t="str">
        <f>IF(TYPE(VLOOKUP($A84,'calcul intermédiaire3 graphique'!$A$2:$G$13,COLUMN(E$1),FALSE))=16,"",VLOOKUP($A84,'calcul intermédiaire3 graphique'!$A$2:$G$13,COLUMN(E$1),FALSE))</f>
        <v/>
      </c>
      <c r="F84" s="15" t="str">
        <f>IF(TYPE(VLOOKUP($A84,'calcul intermédiaire3 graphique'!$A$2:$G$13,COLUMN(F$1),FALSE))=16,"",VLOOKUP($A84,'calcul intermédiaire3 graphique'!$A$2:$G$13,COLUMN(F$1),FALSE))</f>
        <v/>
      </c>
      <c r="G84" s="15" t="str">
        <f>IF(TYPE(VLOOKUP($A84,'calcul intermédiaire3 graphique'!$A$2:$G$13,COLUMN(G$1),FALSE))=16,"",VLOOKUP($A84,'calcul intermédiaire3 graphique'!$A$2:$G$13,COLUMN(G$1),FALSE))</f>
        <v/>
      </c>
      <c r="H84" s="15">
        <v>8</v>
      </c>
      <c r="I84" s="15" t="str">
        <f>IF(TYPE(VLOOKUP($A84,'calcul intermédiaire3 graphique'!$A$2:$G$13,COLUMN(I$1),FALSE))=16,"",VLOOKUP($A84,'calcul intermédiaire3 graphique'!$A$2:$G$13,COLUMN(I$1),FALSE))</f>
        <v/>
      </c>
    </row>
    <row r="85" spans="1:9" x14ac:dyDescent="0.2">
      <c r="A85">
        <v>1989</v>
      </c>
      <c r="B85" s="15" t="str">
        <f>IF(TYPE(VLOOKUP($A85,'calcul intermédiaire3 graphique'!$A$2:$G$13,COLUMN(B$1),FALSE))=16,"",VLOOKUP($A85,'calcul intermédiaire3 graphique'!$A$2:$G$13,COLUMN(B$1),FALSE))</f>
        <v/>
      </c>
      <c r="C85" s="15" t="str">
        <f>IF(TYPE(VLOOKUP($A85,'calcul intermédiaire3 graphique'!$A$2:$G$13,COLUMN(C$1),FALSE))=16,"",VLOOKUP($A85,'calcul intermédiaire3 graphique'!$A$2:$G$13,COLUMN(C$1),FALSE))</f>
        <v/>
      </c>
      <c r="D85" s="15" t="str">
        <f>IF(TYPE(VLOOKUP($A85,'calcul intermédiaire3 graphique'!$A$2:$G$13,COLUMN(D$1),FALSE))=16,"",VLOOKUP($A85,'calcul intermédiaire3 graphique'!$A$2:$G$13,COLUMN(D$1),FALSE))</f>
        <v/>
      </c>
      <c r="E85" s="15" t="str">
        <f>IF(TYPE(VLOOKUP($A85,'calcul intermédiaire3 graphique'!$A$2:$G$13,COLUMN(E$1),FALSE))=16,"",VLOOKUP($A85,'calcul intermédiaire3 graphique'!$A$2:$G$13,COLUMN(E$1),FALSE))</f>
        <v/>
      </c>
      <c r="F85" s="15" t="str">
        <f>IF(TYPE(VLOOKUP($A85,'calcul intermédiaire3 graphique'!$A$2:$G$13,COLUMN(F$1),FALSE))=16,"",VLOOKUP($A85,'calcul intermédiaire3 graphique'!$A$2:$G$13,COLUMN(F$1),FALSE))</f>
        <v/>
      </c>
      <c r="G85" s="15" t="str">
        <f>IF(TYPE(VLOOKUP($A85,'calcul intermédiaire3 graphique'!$A$2:$G$13,COLUMN(G$1),FALSE))=16,"",VLOOKUP($A85,'calcul intermédiaire3 graphique'!$A$2:$G$13,COLUMN(G$1),FALSE))</f>
        <v/>
      </c>
      <c r="H85" s="15">
        <v>9</v>
      </c>
      <c r="I85" s="15" t="str">
        <f>IF(TYPE(VLOOKUP($A85,'calcul intermédiaire3 graphique'!$A$2:$G$13,COLUMN(I$1),FALSE))=16,"",VLOOKUP($A85,'calcul intermédiaire3 graphique'!$A$2:$G$13,COLUMN(I$1),FALSE))</f>
        <v/>
      </c>
    </row>
    <row r="86" spans="1:9" x14ac:dyDescent="0.2">
      <c r="A86">
        <v>1990</v>
      </c>
      <c r="B86" s="15">
        <f>IF(TYPE(VLOOKUP($A86,'calcul intermédiaire3 graphique'!$A$2:$G$13,COLUMN(B$1),FALSE))=16,"",VLOOKUP($A86,'calcul intermédiaire3 graphique'!$A$2:$G$13,COLUMN(B$1),FALSE))</f>
        <v>2242.3000000000002</v>
      </c>
      <c r="C86" s="15">
        <f>IF(TYPE(VLOOKUP($A86,'calcul intermédiaire3 graphique'!$A$2:$G$13,COLUMN(C$1),FALSE))=16,"",VLOOKUP($A86,'calcul intermédiaire3 graphique'!$A$2:$G$13,COLUMN(C$1),FALSE))</f>
        <v>2531.1</v>
      </c>
      <c r="D86" s="15">
        <f>IF(TYPE(VLOOKUP($A86,'calcul intermédiaire3 graphique'!$A$2:$G$13,COLUMN(D$1),FALSE))=16,"",VLOOKUP($A86,'calcul intermédiaire3 graphique'!$A$2:$G$13,COLUMN(D$1),FALSE))</f>
        <v>3001</v>
      </c>
      <c r="E86" s="15">
        <f>IF(TYPE(VLOOKUP($A86,'calcul intermédiaire3 graphique'!$A$2:$G$13,COLUMN(E$1),FALSE))=16,"",VLOOKUP($A86,'calcul intermédiaire3 graphique'!$A$2:$G$13,COLUMN(E$1),FALSE))</f>
        <v>1195.9000000000001</v>
      </c>
      <c r="F86" s="15">
        <f>IF(TYPE(VLOOKUP($A86,'calcul intermédiaire3 graphique'!$A$2:$G$13,COLUMN(F$1),FALSE))=16,"",VLOOKUP($A86,'calcul intermédiaire3 graphique'!$A$2:$G$13,COLUMN(F$1),FALSE))</f>
        <v>555.9</v>
      </c>
      <c r="G86" s="15">
        <f>IF(TYPE(VLOOKUP($A86,'calcul intermédiaire3 graphique'!$A$2:$G$13,COLUMN(G$1),FALSE))=16,"",VLOOKUP($A86,'calcul intermédiaire3 graphique'!$A$2:$G$13,COLUMN(G$1),FALSE))</f>
        <v>67</v>
      </c>
      <c r="H86" s="15" t="str">
        <f>IF(TYPE(VLOOKUP($A86,'calcul intermédiaire3 graphique'!$A$2:$G$13,COLUMN(H$1),FALSE))=16,"",VLOOKUP($A86,'calcul intermédiaire3 graphique'!$A$2:$G$13,COLUMN(H$1),FALSE))</f>
        <v/>
      </c>
      <c r="I86" s="15" t="str">
        <f>IF(TYPE(VLOOKUP($A86,'calcul intermédiaire3 graphique'!$A$2:$G$13,COLUMN(I$1),FALSE))=16,"",VLOOKUP($A86,'calcul intermédiaire3 graphique'!$A$2:$G$13,COLUMN(I$1),FALSE))</f>
        <v/>
      </c>
    </row>
    <row r="87" spans="1:9" x14ac:dyDescent="0.2">
      <c r="A87">
        <v>1991</v>
      </c>
      <c r="B87" s="15" t="str">
        <f>IF(TYPE(VLOOKUP($A87,'calcul intermédiaire3 graphique'!$A$2:$G$13,COLUMN(B$1),FALSE))=16,"",VLOOKUP($A87,'calcul intermédiaire3 graphique'!$A$2:$G$13,COLUMN(B$1),FALSE))</f>
        <v/>
      </c>
      <c r="C87" s="15" t="str">
        <f>IF(TYPE(VLOOKUP($A87,'calcul intermédiaire3 graphique'!$A$2:$G$13,COLUMN(C$1),FALSE))=16,"",VLOOKUP($A87,'calcul intermédiaire3 graphique'!$A$2:$G$13,COLUMN(C$1),FALSE))</f>
        <v/>
      </c>
      <c r="D87" s="15" t="str">
        <f>IF(TYPE(VLOOKUP($A87,'calcul intermédiaire3 graphique'!$A$2:$G$13,COLUMN(D$1),FALSE))=16,"",VLOOKUP($A87,'calcul intermédiaire3 graphique'!$A$2:$G$13,COLUMN(D$1),FALSE))</f>
        <v/>
      </c>
      <c r="E87" s="15" t="str">
        <f>IF(TYPE(VLOOKUP($A87,'calcul intermédiaire3 graphique'!$A$2:$G$13,COLUMN(E$1),FALSE))=16,"",VLOOKUP($A87,'calcul intermédiaire3 graphique'!$A$2:$G$13,COLUMN(E$1),FALSE))</f>
        <v/>
      </c>
      <c r="F87" s="15" t="str">
        <f>IF(TYPE(VLOOKUP($A87,'calcul intermédiaire3 graphique'!$A$2:$G$13,COLUMN(F$1),FALSE))=16,"",VLOOKUP($A87,'calcul intermédiaire3 graphique'!$A$2:$G$13,COLUMN(F$1),FALSE))</f>
        <v/>
      </c>
      <c r="G87" s="15" t="str">
        <f>IF(TYPE(VLOOKUP($A87,'calcul intermédiaire3 graphique'!$A$2:$G$13,COLUMN(G$1),FALSE))=16,"",VLOOKUP($A87,'calcul intermédiaire3 graphique'!$A$2:$G$13,COLUMN(G$1),FALSE))</f>
        <v/>
      </c>
      <c r="H87" s="15">
        <v>1</v>
      </c>
      <c r="I87" s="15" t="str">
        <f>IF(TYPE(VLOOKUP($A87,'calcul intermédiaire3 graphique'!$A$2:$G$13,COLUMN(I$1),FALSE))=16,"",VLOOKUP($A87,'calcul intermédiaire3 graphique'!$A$2:$G$13,COLUMN(I$1),FALSE))</f>
        <v/>
      </c>
    </row>
    <row r="88" spans="1:9" x14ac:dyDescent="0.2">
      <c r="A88">
        <v>1992</v>
      </c>
      <c r="B88" s="15" t="str">
        <f>IF(TYPE(VLOOKUP($A88,'calcul intermédiaire3 graphique'!$A$2:$G$13,COLUMN(B$1),FALSE))=16,"",VLOOKUP($A88,'calcul intermédiaire3 graphique'!$A$2:$G$13,COLUMN(B$1),FALSE))</f>
        <v/>
      </c>
      <c r="C88" s="15" t="str">
        <f>IF(TYPE(VLOOKUP($A88,'calcul intermédiaire3 graphique'!$A$2:$G$13,COLUMN(C$1),FALSE))=16,"",VLOOKUP($A88,'calcul intermédiaire3 graphique'!$A$2:$G$13,COLUMN(C$1),FALSE))</f>
        <v/>
      </c>
      <c r="D88" s="15" t="str">
        <f>IF(TYPE(VLOOKUP($A88,'calcul intermédiaire3 graphique'!$A$2:$G$13,COLUMN(D$1),FALSE))=16,"",VLOOKUP($A88,'calcul intermédiaire3 graphique'!$A$2:$G$13,COLUMN(D$1),FALSE))</f>
        <v/>
      </c>
      <c r="E88" s="15" t="str">
        <f>IF(TYPE(VLOOKUP($A88,'calcul intermédiaire3 graphique'!$A$2:$G$13,COLUMN(E$1),FALSE))=16,"",VLOOKUP($A88,'calcul intermédiaire3 graphique'!$A$2:$G$13,COLUMN(E$1),FALSE))</f>
        <v/>
      </c>
      <c r="F88" s="15" t="str">
        <f>IF(TYPE(VLOOKUP($A88,'calcul intermédiaire3 graphique'!$A$2:$G$13,COLUMN(F$1),FALSE))=16,"",VLOOKUP($A88,'calcul intermédiaire3 graphique'!$A$2:$G$13,COLUMN(F$1),FALSE))</f>
        <v/>
      </c>
      <c r="G88" s="15" t="str">
        <f>IF(TYPE(VLOOKUP($A88,'calcul intermédiaire3 graphique'!$A$2:$G$13,COLUMN(G$1),FALSE))=16,"",VLOOKUP($A88,'calcul intermédiaire3 graphique'!$A$2:$G$13,COLUMN(G$1),FALSE))</f>
        <v/>
      </c>
      <c r="H88" s="15">
        <v>2</v>
      </c>
      <c r="I88" s="15" t="str">
        <f>IF(TYPE(VLOOKUP($A88,'calcul intermédiaire3 graphique'!$A$2:$G$13,COLUMN(I$1),FALSE))=16,"",VLOOKUP($A88,'calcul intermédiaire3 graphique'!$A$2:$G$13,COLUMN(I$1),FALSE))</f>
        <v/>
      </c>
    </row>
    <row r="89" spans="1:9" x14ac:dyDescent="0.2">
      <c r="A89">
        <v>1993</v>
      </c>
      <c r="B89" s="15" t="str">
        <f>IF(TYPE(VLOOKUP($A89,'calcul intermédiaire3 graphique'!$A$2:$G$13,COLUMN(B$1),FALSE))=16,"",VLOOKUP($A89,'calcul intermédiaire3 graphique'!$A$2:$G$13,COLUMN(B$1),FALSE))</f>
        <v/>
      </c>
      <c r="C89" s="15" t="str">
        <f>IF(TYPE(VLOOKUP($A89,'calcul intermédiaire3 graphique'!$A$2:$G$13,COLUMN(C$1),FALSE))=16,"",VLOOKUP($A89,'calcul intermédiaire3 graphique'!$A$2:$G$13,COLUMN(C$1),FALSE))</f>
        <v/>
      </c>
      <c r="D89" s="15" t="str">
        <f>IF(TYPE(VLOOKUP($A89,'calcul intermédiaire3 graphique'!$A$2:$G$13,COLUMN(D$1),FALSE))=16,"",VLOOKUP($A89,'calcul intermédiaire3 graphique'!$A$2:$G$13,COLUMN(D$1),FALSE))</f>
        <v/>
      </c>
      <c r="E89" s="15" t="str">
        <f>IF(TYPE(VLOOKUP($A89,'calcul intermédiaire3 graphique'!$A$2:$G$13,COLUMN(E$1),FALSE))=16,"",VLOOKUP($A89,'calcul intermédiaire3 graphique'!$A$2:$G$13,COLUMN(E$1),FALSE))</f>
        <v/>
      </c>
      <c r="F89" s="15" t="str">
        <f>IF(TYPE(VLOOKUP($A89,'calcul intermédiaire3 graphique'!$A$2:$G$13,COLUMN(F$1),FALSE))=16,"",VLOOKUP($A89,'calcul intermédiaire3 graphique'!$A$2:$G$13,COLUMN(F$1),FALSE))</f>
        <v/>
      </c>
      <c r="G89" s="15" t="str">
        <f>IF(TYPE(VLOOKUP($A89,'calcul intermédiaire3 graphique'!$A$2:$G$13,COLUMN(G$1),FALSE))=16,"",VLOOKUP($A89,'calcul intermédiaire3 graphique'!$A$2:$G$13,COLUMN(G$1),FALSE))</f>
        <v/>
      </c>
      <c r="H89" s="15">
        <v>3</v>
      </c>
      <c r="I89" s="15" t="str">
        <f>IF(TYPE(VLOOKUP($A89,'calcul intermédiaire3 graphique'!$A$2:$G$13,COLUMN(I$1),FALSE))=16,"",VLOOKUP($A89,'calcul intermédiaire3 graphique'!$A$2:$G$13,COLUMN(I$1),FALSE))</f>
        <v/>
      </c>
    </row>
    <row r="90" spans="1:9" x14ac:dyDescent="0.2">
      <c r="A90">
        <v>1994</v>
      </c>
      <c r="B90" s="15" t="str">
        <f>IF(TYPE(VLOOKUP($A90,'calcul intermédiaire3 graphique'!$A$2:$G$13,COLUMN(B$1),FALSE))=16,"",VLOOKUP($A90,'calcul intermédiaire3 graphique'!$A$2:$G$13,COLUMN(B$1),FALSE))</f>
        <v/>
      </c>
      <c r="C90" s="15" t="str">
        <f>IF(TYPE(VLOOKUP($A90,'calcul intermédiaire3 graphique'!$A$2:$G$13,COLUMN(C$1),FALSE))=16,"",VLOOKUP($A90,'calcul intermédiaire3 graphique'!$A$2:$G$13,COLUMN(C$1),FALSE))</f>
        <v/>
      </c>
      <c r="D90" s="15" t="str">
        <f>IF(TYPE(VLOOKUP($A90,'calcul intermédiaire3 graphique'!$A$2:$G$13,COLUMN(D$1),FALSE))=16,"",VLOOKUP($A90,'calcul intermédiaire3 graphique'!$A$2:$G$13,COLUMN(D$1),FALSE))</f>
        <v/>
      </c>
      <c r="E90" s="15" t="str">
        <f>IF(TYPE(VLOOKUP($A90,'calcul intermédiaire3 graphique'!$A$2:$G$13,COLUMN(E$1),FALSE))=16,"",VLOOKUP($A90,'calcul intermédiaire3 graphique'!$A$2:$G$13,COLUMN(E$1),FALSE))</f>
        <v/>
      </c>
      <c r="F90" s="15" t="str">
        <f>IF(TYPE(VLOOKUP($A90,'calcul intermédiaire3 graphique'!$A$2:$G$13,COLUMN(F$1),FALSE))=16,"",VLOOKUP($A90,'calcul intermédiaire3 graphique'!$A$2:$G$13,COLUMN(F$1),FALSE))</f>
        <v/>
      </c>
      <c r="G90" s="15" t="str">
        <f>IF(TYPE(VLOOKUP($A90,'calcul intermédiaire3 graphique'!$A$2:$G$13,COLUMN(G$1),FALSE))=16,"",VLOOKUP($A90,'calcul intermédiaire3 graphique'!$A$2:$G$13,COLUMN(G$1),FALSE))</f>
        <v/>
      </c>
      <c r="H90" s="15">
        <v>4</v>
      </c>
      <c r="I90" s="15" t="str">
        <f>IF(TYPE(VLOOKUP($A90,'calcul intermédiaire3 graphique'!$A$2:$G$13,COLUMN(I$1),FALSE))=16,"",VLOOKUP($A90,'calcul intermédiaire3 graphique'!$A$2:$G$13,COLUMN(I$1),FALSE))</f>
        <v/>
      </c>
    </row>
    <row r="91" spans="1:9" x14ac:dyDescent="0.2">
      <c r="A91">
        <v>1995</v>
      </c>
      <c r="B91" s="15" t="str">
        <f>IF(TYPE(VLOOKUP($A91,'calcul intermédiaire3 graphique'!$A$2:$G$13,COLUMN(B$1),FALSE))=16,"",VLOOKUP($A91,'calcul intermédiaire3 graphique'!$A$2:$G$13,COLUMN(B$1),FALSE))</f>
        <v/>
      </c>
      <c r="C91" s="15" t="str">
        <f>IF(TYPE(VLOOKUP($A91,'calcul intermédiaire3 graphique'!$A$2:$G$13,COLUMN(C$1),FALSE))=16,"",VLOOKUP($A91,'calcul intermédiaire3 graphique'!$A$2:$G$13,COLUMN(C$1),FALSE))</f>
        <v/>
      </c>
      <c r="D91" s="15" t="str">
        <f>IF(TYPE(VLOOKUP($A91,'calcul intermédiaire3 graphique'!$A$2:$G$13,COLUMN(D$1),FALSE))=16,"",VLOOKUP($A91,'calcul intermédiaire3 graphique'!$A$2:$G$13,COLUMN(D$1),FALSE))</f>
        <v/>
      </c>
      <c r="E91" s="15" t="str">
        <f>IF(TYPE(VLOOKUP($A91,'calcul intermédiaire3 graphique'!$A$2:$G$13,COLUMN(E$1),FALSE))=16,"",VLOOKUP($A91,'calcul intermédiaire3 graphique'!$A$2:$G$13,COLUMN(E$1),FALSE))</f>
        <v/>
      </c>
      <c r="F91" s="15" t="str">
        <f>IF(TYPE(VLOOKUP($A91,'calcul intermédiaire3 graphique'!$A$2:$G$13,COLUMN(F$1),FALSE))=16,"",VLOOKUP($A91,'calcul intermédiaire3 graphique'!$A$2:$G$13,COLUMN(F$1),FALSE))</f>
        <v/>
      </c>
      <c r="G91" s="15" t="str">
        <f>IF(TYPE(VLOOKUP($A91,'calcul intermédiaire3 graphique'!$A$2:$G$13,COLUMN(G$1),FALSE))=16,"",VLOOKUP($A91,'calcul intermédiaire3 graphique'!$A$2:$G$13,COLUMN(G$1),FALSE))</f>
        <v/>
      </c>
      <c r="H91" s="15">
        <v>5</v>
      </c>
      <c r="I91" s="15" t="str">
        <f>IF(TYPE(VLOOKUP($A91,'calcul intermédiaire3 graphique'!$A$2:$G$13,COLUMN(I$1),FALSE))=16,"",VLOOKUP($A91,'calcul intermédiaire3 graphique'!$A$2:$G$13,COLUMN(I$1),FALSE))</f>
        <v/>
      </c>
    </row>
    <row r="92" spans="1:9" x14ac:dyDescent="0.2">
      <c r="A92">
        <v>1996</v>
      </c>
      <c r="B92" s="15" t="str">
        <f>IF(TYPE(VLOOKUP($A92,'calcul intermédiaire3 graphique'!$A$2:$G$13,COLUMN(B$1),FALSE))=16,"",VLOOKUP($A92,'calcul intermédiaire3 graphique'!$A$2:$G$13,COLUMN(B$1),FALSE))</f>
        <v/>
      </c>
      <c r="C92" s="15" t="str">
        <f>IF(TYPE(VLOOKUP($A92,'calcul intermédiaire3 graphique'!$A$2:$G$13,COLUMN(C$1),FALSE))=16,"",VLOOKUP($A92,'calcul intermédiaire3 graphique'!$A$2:$G$13,COLUMN(C$1),FALSE))</f>
        <v/>
      </c>
      <c r="D92" s="15" t="str">
        <f>IF(TYPE(VLOOKUP($A92,'calcul intermédiaire3 graphique'!$A$2:$G$13,COLUMN(D$1),FALSE))=16,"",VLOOKUP($A92,'calcul intermédiaire3 graphique'!$A$2:$G$13,COLUMN(D$1),FALSE))</f>
        <v/>
      </c>
      <c r="E92" s="15" t="str">
        <f>IF(TYPE(VLOOKUP($A92,'calcul intermédiaire3 graphique'!$A$2:$G$13,COLUMN(E$1),FALSE))=16,"",VLOOKUP($A92,'calcul intermédiaire3 graphique'!$A$2:$G$13,COLUMN(E$1),FALSE))</f>
        <v/>
      </c>
      <c r="F92" s="15" t="str">
        <f>IF(TYPE(VLOOKUP($A92,'calcul intermédiaire3 graphique'!$A$2:$G$13,COLUMN(F$1),FALSE))=16,"",VLOOKUP($A92,'calcul intermédiaire3 graphique'!$A$2:$G$13,COLUMN(F$1),FALSE))</f>
        <v/>
      </c>
      <c r="G92" s="15" t="str">
        <f>IF(TYPE(VLOOKUP($A92,'calcul intermédiaire3 graphique'!$A$2:$G$13,COLUMN(G$1),FALSE))=16,"",VLOOKUP($A92,'calcul intermédiaire3 graphique'!$A$2:$G$13,COLUMN(G$1),FALSE))</f>
        <v/>
      </c>
      <c r="H92" s="15">
        <v>6</v>
      </c>
      <c r="I92" s="15" t="str">
        <f>IF(TYPE(VLOOKUP($A92,'calcul intermédiaire3 graphique'!$A$2:$G$13,COLUMN(I$1),FALSE))=16,"",VLOOKUP($A92,'calcul intermédiaire3 graphique'!$A$2:$G$13,COLUMN(I$1),FALSE))</f>
        <v/>
      </c>
    </row>
    <row r="93" spans="1:9" x14ac:dyDescent="0.2">
      <c r="A93">
        <v>1997</v>
      </c>
      <c r="B93" s="15" t="str">
        <f>IF(TYPE(VLOOKUP($A93,'calcul intermédiaire3 graphique'!$A$2:$G$13,COLUMN(B$1),FALSE))=16,"",VLOOKUP($A93,'calcul intermédiaire3 graphique'!$A$2:$G$13,COLUMN(B$1),FALSE))</f>
        <v/>
      </c>
      <c r="C93" s="15" t="str">
        <f>IF(TYPE(VLOOKUP($A93,'calcul intermédiaire3 graphique'!$A$2:$G$13,COLUMN(C$1),FALSE))=16,"",VLOOKUP($A93,'calcul intermédiaire3 graphique'!$A$2:$G$13,COLUMN(C$1),FALSE))</f>
        <v/>
      </c>
      <c r="D93" s="15" t="str">
        <f>IF(TYPE(VLOOKUP($A93,'calcul intermédiaire3 graphique'!$A$2:$G$13,COLUMN(D$1),FALSE))=16,"",VLOOKUP($A93,'calcul intermédiaire3 graphique'!$A$2:$G$13,COLUMN(D$1),FALSE))</f>
        <v/>
      </c>
      <c r="E93" s="15" t="str">
        <f>IF(TYPE(VLOOKUP($A93,'calcul intermédiaire3 graphique'!$A$2:$G$13,COLUMN(E$1),FALSE))=16,"",VLOOKUP($A93,'calcul intermédiaire3 graphique'!$A$2:$G$13,COLUMN(E$1),FALSE))</f>
        <v/>
      </c>
      <c r="F93" s="15" t="str">
        <f>IF(TYPE(VLOOKUP($A93,'calcul intermédiaire3 graphique'!$A$2:$G$13,COLUMN(F$1),FALSE))=16,"",VLOOKUP($A93,'calcul intermédiaire3 graphique'!$A$2:$G$13,COLUMN(F$1),FALSE))</f>
        <v/>
      </c>
      <c r="G93" s="15" t="str">
        <f>IF(TYPE(VLOOKUP($A93,'calcul intermédiaire3 graphique'!$A$2:$G$13,COLUMN(G$1),FALSE))=16,"",VLOOKUP($A93,'calcul intermédiaire3 graphique'!$A$2:$G$13,COLUMN(G$1),FALSE))</f>
        <v/>
      </c>
      <c r="H93" s="15">
        <v>7</v>
      </c>
      <c r="I93" s="15" t="str">
        <f>IF(TYPE(VLOOKUP($A93,'calcul intermédiaire3 graphique'!$A$2:$G$13,COLUMN(I$1),FALSE))=16,"",VLOOKUP($A93,'calcul intermédiaire3 graphique'!$A$2:$G$13,COLUMN(I$1),FALSE))</f>
        <v/>
      </c>
    </row>
    <row r="94" spans="1:9" x14ac:dyDescent="0.2">
      <c r="A94">
        <v>1998</v>
      </c>
      <c r="B94" s="15" t="str">
        <f>IF(TYPE(VLOOKUP($A94,'calcul intermédiaire3 graphique'!$A$2:$G$13,COLUMN(B$1),FALSE))=16,"",VLOOKUP($A94,'calcul intermédiaire3 graphique'!$A$2:$G$13,COLUMN(B$1),FALSE))</f>
        <v/>
      </c>
      <c r="C94" s="15" t="str">
        <f>IF(TYPE(VLOOKUP($A94,'calcul intermédiaire3 graphique'!$A$2:$G$13,COLUMN(C$1),FALSE))=16,"",VLOOKUP($A94,'calcul intermédiaire3 graphique'!$A$2:$G$13,COLUMN(C$1),FALSE))</f>
        <v/>
      </c>
      <c r="D94" s="15" t="str">
        <f>IF(TYPE(VLOOKUP($A94,'calcul intermédiaire3 graphique'!$A$2:$G$13,COLUMN(D$1),FALSE))=16,"",VLOOKUP($A94,'calcul intermédiaire3 graphique'!$A$2:$G$13,COLUMN(D$1),FALSE))</f>
        <v/>
      </c>
      <c r="E94" s="15" t="str">
        <f>IF(TYPE(VLOOKUP($A94,'calcul intermédiaire3 graphique'!$A$2:$G$13,COLUMN(E$1),FALSE))=16,"",VLOOKUP($A94,'calcul intermédiaire3 graphique'!$A$2:$G$13,COLUMN(E$1),FALSE))</f>
        <v/>
      </c>
      <c r="F94" s="15" t="str">
        <f>IF(TYPE(VLOOKUP($A94,'calcul intermédiaire3 graphique'!$A$2:$G$13,COLUMN(F$1),FALSE))=16,"",VLOOKUP($A94,'calcul intermédiaire3 graphique'!$A$2:$G$13,COLUMN(F$1),FALSE))</f>
        <v/>
      </c>
      <c r="G94" s="15" t="str">
        <f>IF(TYPE(VLOOKUP($A94,'calcul intermédiaire3 graphique'!$A$2:$G$13,COLUMN(G$1),FALSE))=16,"",VLOOKUP($A94,'calcul intermédiaire3 graphique'!$A$2:$G$13,COLUMN(G$1),FALSE))</f>
        <v/>
      </c>
      <c r="H94" s="15">
        <v>8</v>
      </c>
      <c r="I94" s="15" t="str">
        <f>IF(TYPE(VLOOKUP($A94,'calcul intermédiaire3 graphique'!$A$2:$G$13,COLUMN(I$1),FALSE))=16,"",VLOOKUP($A94,'calcul intermédiaire3 graphique'!$A$2:$G$13,COLUMN(I$1),FALSE))</f>
        <v/>
      </c>
    </row>
    <row r="95" spans="1:9" x14ac:dyDescent="0.2">
      <c r="A95">
        <v>1999</v>
      </c>
      <c r="B95" s="15" t="str">
        <f>IF(TYPE(VLOOKUP($A95,'calcul intermédiaire3 graphique'!$A$2:$G$13,COLUMN(B$1),FALSE))=16,"",VLOOKUP($A95,'calcul intermédiaire3 graphique'!$A$2:$G$13,COLUMN(B$1),FALSE))</f>
        <v/>
      </c>
      <c r="C95" s="15" t="str">
        <f>IF(TYPE(VLOOKUP($A95,'calcul intermédiaire3 graphique'!$A$2:$G$13,COLUMN(C$1),FALSE))=16,"",VLOOKUP($A95,'calcul intermédiaire3 graphique'!$A$2:$G$13,COLUMN(C$1),FALSE))</f>
        <v/>
      </c>
      <c r="D95" s="15" t="str">
        <f>IF(TYPE(VLOOKUP($A95,'calcul intermédiaire3 graphique'!$A$2:$G$13,COLUMN(D$1),FALSE))=16,"",VLOOKUP($A95,'calcul intermédiaire3 graphique'!$A$2:$G$13,COLUMN(D$1),FALSE))</f>
        <v/>
      </c>
      <c r="E95" s="15" t="str">
        <f>IF(TYPE(VLOOKUP($A95,'calcul intermédiaire3 graphique'!$A$2:$G$13,COLUMN(E$1),FALSE))=16,"",VLOOKUP($A95,'calcul intermédiaire3 graphique'!$A$2:$G$13,COLUMN(E$1),FALSE))</f>
        <v/>
      </c>
      <c r="F95" s="15" t="str">
        <f>IF(TYPE(VLOOKUP($A95,'calcul intermédiaire3 graphique'!$A$2:$G$13,COLUMN(F$1),FALSE))=16,"",VLOOKUP($A95,'calcul intermédiaire3 graphique'!$A$2:$G$13,COLUMN(F$1),FALSE))</f>
        <v/>
      </c>
      <c r="G95" s="15" t="str">
        <f>IF(TYPE(VLOOKUP($A95,'calcul intermédiaire3 graphique'!$A$2:$G$13,COLUMN(G$1),FALSE))=16,"",VLOOKUP($A95,'calcul intermédiaire3 graphique'!$A$2:$G$13,COLUMN(G$1),FALSE))</f>
        <v/>
      </c>
      <c r="H95" s="15">
        <v>9</v>
      </c>
      <c r="I95" s="15" t="str">
        <f>IF(TYPE(VLOOKUP($A95,'calcul intermédiaire3 graphique'!$A$2:$G$13,COLUMN(I$1),FALSE))=16,"",VLOOKUP($A95,'calcul intermédiaire3 graphique'!$A$2:$G$13,COLUMN(I$1),FALSE))</f>
        <v/>
      </c>
    </row>
    <row r="96" spans="1:9" x14ac:dyDescent="0.2">
      <c r="A96">
        <v>2000</v>
      </c>
      <c r="B96" s="15">
        <f>IF(TYPE(VLOOKUP($A96,'calcul intermédiaire3 graphique'!$A$2:$G$13,COLUMN(B$1),FALSE))=16,"",VLOOKUP($A96,'calcul intermédiaire3 graphique'!$A$2:$G$13,COLUMN(B$1),FALSE))</f>
        <v>3158.7</v>
      </c>
      <c r="C96" s="15">
        <f>IF(TYPE(VLOOKUP($A96,'calcul intermédiaire3 graphique'!$A$2:$G$13,COLUMN(C$1),FALSE))=16,"",VLOOKUP($A96,'calcul intermédiaire3 graphique'!$A$2:$G$13,COLUMN(C$1),FALSE))</f>
        <v>3183.4</v>
      </c>
      <c r="D96" s="15">
        <f>IF(TYPE(VLOOKUP($A96,'calcul intermédiaire3 graphique'!$A$2:$G$13,COLUMN(D$1),FALSE))=16,"",VLOOKUP($A96,'calcul intermédiaire3 graphique'!$A$2:$G$13,COLUMN(D$1),FALSE))</f>
        <v>3182.7</v>
      </c>
      <c r="E96" s="15">
        <f>IF(TYPE(VLOOKUP($A96,'calcul intermédiaire3 graphique'!$A$2:$G$13,COLUMN(E$1),FALSE))=16,"",VLOOKUP($A96,'calcul intermédiaire3 graphique'!$A$2:$G$13,COLUMN(E$1),FALSE))</f>
        <v>1322.2</v>
      </c>
      <c r="F96" s="15">
        <f>IF(TYPE(VLOOKUP($A96,'calcul intermédiaire3 graphique'!$A$2:$G$13,COLUMN(F$1),FALSE))=16,"",VLOOKUP($A96,'calcul intermédiaire3 graphique'!$A$2:$G$13,COLUMN(F$1),FALSE))</f>
        <v>881.5</v>
      </c>
      <c r="G96" s="15">
        <f>IF(TYPE(VLOOKUP($A96,'calcul intermédiaire3 graphique'!$A$2:$G$13,COLUMN(G$1),FALSE))=16,"",VLOOKUP($A96,'calcul intermédiaire3 graphique'!$A$2:$G$13,COLUMN(G$1),FALSE))</f>
        <v>132.6</v>
      </c>
      <c r="H96" s="15" t="str">
        <f>IF(TYPE(VLOOKUP($A96,'calcul intermédiaire3 graphique'!$A$2:$G$13,COLUMN(H$1),FALSE))=16,"",VLOOKUP($A96,'calcul intermédiaire3 graphique'!$A$2:$G$13,COLUMN(H$1),FALSE))</f>
        <v/>
      </c>
      <c r="I96" s="15" t="str">
        <f>IF(TYPE(VLOOKUP($A96,'calcul intermédiaire3 graphique'!$A$2:$G$13,COLUMN(I$1),FALSE))=16,"",VLOOKUP($A96,'calcul intermédiaire3 graphique'!$A$2:$G$13,COLUMN(I$1),FALSE))</f>
        <v/>
      </c>
    </row>
    <row r="97" spans="1:9" x14ac:dyDescent="0.2">
      <c r="A97">
        <v>2001</v>
      </c>
      <c r="B97" s="15" t="str">
        <f>IF(TYPE(VLOOKUP($A97,'calcul intermédiaire3 graphique'!$A$2:$G$13,COLUMN(B$1),FALSE))=16,"",VLOOKUP($A97,'calcul intermédiaire3 graphique'!$A$2:$G$13,COLUMN(B$1),FALSE))</f>
        <v/>
      </c>
      <c r="C97" s="15" t="str">
        <f>IF(TYPE(VLOOKUP($A97,'calcul intermédiaire3 graphique'!$A$2:$G$13,COLUMN(C$1),FALSE))=16,"",VLOOKUP($A97,'calcul intermédiaire3 graphique'!$A$2:$G$13,COLUMN(C$1),FALSE))</f>
        <v/>
      </c>
      <c r="D97" s="15" t="str">
        <f>IF(TYPE(VLOOKUP($A97,'calcul intermédiaire3 graphique'!$A$2:$G$13,COLUMN(D$1),FALSE))=16,"",VLOOKUP($A97,'calcul intermédiaire3 graphique'!$A$2:$G$13,COLUMN(D$1),FALSE))</f>
        <v/>
      </c>
      <c r="E97" s="15" t="str">
        <f>IF(TYPE(VLOOKUP($A97,'calcul intermédiaire3 graphique'!$A$2:$G$13,COLUMN(E$1),FALSE))=16,"",VLOOKUP($A97,'calcul intermédiaire3 graphique'!$A$2:$G$13,COLUMN(E$1),FALSE))</f>
        <v/>
      </c>
      <c r="F97" s="15" t="str">
        <f>IF(TYPE(VLOOKUP($A97,'calcul intermédiaire3 graphique'!$A$2:$G$13,COLUMN(F$1),FALSE))=16,"",VLOOKUP($A97,'calcul intermédiaire3 graphique'!$A$2:$G$13,COLUMN(F$1),FALSE))</f>
        <v/>
      </c>
      <c r="G97" s="15" t="str">
        <f>IF(TYPE(VLOOKUP($A97,'calcul intermédiaire3 graphique'!$A$2:$G$13,COLUMN(G$1),FALSE))=16,"",VLOOKUP($A97,'calcul intermédiaire3 graphique'!$A$2:$G$13,COLUMN(G$1),FALSE))</f>
        <v/>
      </c>
      <c r="H97" s="15">
        <v>1</v>
      </c>
      <c r="I97" s="15" t="str">
        <f>IF(TYPE(VLOOKUP($A97,'calcul intermédiaire3 graphique'!$A$2:$G$13,COLUMN(I$1),FALSE))=16,"",VLOOKUP($A97,'calcul intermédiaire3 graphique'!$A$2:$G$13,COLUMN(I$1),FALSE))</f>
        <v/>
      </c>
    </row>
    <row r="98" spans="1:9" x14ac:dyDescent="0.2">
      <c r="A98">
        <v>2002</v>
      </c>
      <c r="B98" s="15" t="str">
        <f>IF(TYPE(VLOOKUP($A98,'calcul intermédiaire3 graphique'!$A$2:$G$13,COLUMN(B$1),FALSE))=16,"",VLOOKUP($A98,'calcul intermédiaire3 graphique'!$A$2:$G$13,COLUMN(B$1),FALSE))</f>
        <v/>
      </c>
      <c r="C98" s="15" t="str">
        <f>IF(TYPE(VLOOKUP($A98,'calcul intermédiaire3 graphique'!$A$2:$G$13,COLUMN(C$1),FALSE))=16,"",VLOOKUP($A98,'calcul intermédiaire3 graphique'!$A$2:$G$13,COLUMN(C$1),FALSE))</f>
        <v/>
      </c>
      <c r="D98" s="15" t="str">
        <f>IF(TYPE(VLOOKUP($A98,'calcul intermédiaire3 graphique'!$A$2:$G$13,COLUMN(D$1),FALSE))=16,"",VLOOKUP($A98,'calcul intermédiaire3 graphique'!$A$2:$G$13,COLUMN(D$1),FALSE))</f>
        <v/>
      </c>
      <c r="E98" s="15" t="str">
        <f>IF(TYPE(VLOOKUP($A98,'calcul intermédiaire3 graphique'!$A$2:$G$13,COLUMN(E$1),FALSE))=16,"",VLOOKUP($A98,'calcul intermédiaire3 graphique'!$A$2:$G$13,COLUMN(E$1),FALSE))</f>
        <v/>
      </c>
      <c r="F98" s="15" t="str">
        <f>IF(TYPE(VLOOKUP($A98,'calcul intermédiaire3 graphique'!$A$2:$G$13,COLUMN(F$1),FALSE))=16,"",VLOOKUP($A98,'calcul intermédiaire3 graphique'!$A$2:$G$13,COLUMN(F$1),FALSE))</f>
        <v/>
      </c>
      <c r="G98" s="15" t="str">
        <f>IF(TYPE(VLOOKUP($A98,'calcul intermédiaire3 graphique'!$A$2:$G$13,COLUMN(G$1),FALSE))=16,"",VLOOKUP($A98,'calcul intermédiaire3 graphique'!$A$2:$G$13,COLUMN(G$1),FALSE))</f>
        <v/>
      </c>
      <c r="H98" s="15">
        <v>2</v>
      </c>
      <c r="I98" s="15" t="str">
        <f>IF(TYPE(VLOOKUP($A98,'calcul intermédiaire3 graphique'!$A$2:$G$13,COLUMN(I$1),FALSE))=16,"",VLOOKUP($A98,'calcul intermédiaire3 graphique'!$A$2:$G$13,COLUMN(I$1),FALSE))</f>
        <v/>
      </c>
    </row>
    <row r="99" spans="1:9" x14ac:dyDescent="0.2">
      <c r="A99">
        <v>2003</v>
      </c>
      <c r="B99" s="15" t="str">
        <f>IF(TYPE(VLOOKUP($A99,'calcul intermédiaire3 graphique'!$A$2:$G$13,COLUMN(B$1),FALSE))=16,"",VLOOKUP($A99,'calcul intermédiaire3 graphique'!$A$2:$G$13,COLUMN(B$1),FALSE))</f>
        <v/>
      </c>
      <c r="C99" s="15" t="str">
        <f>IF(TYPE(VLOOKUP($A99,'calcul intermédiaire3 graphique'!$A$2:$G$13,COLUMN(C$1),FALSE))=16,"",VLOOKUP($A99,'calcul intermédiaire3 graphique'!$A$2:$G$13,COLUMN(C$1),FALSE))</f>
        <v/>
      </c>
      <c r="D99" s="15" t="str">
        <f>IF(TYPE(VLOOKUP($A99,'calcul intermédiaire3 graphique'!$A$2:$G$13,COLUMN(D$1),FALSE))=16,"",VLOOKUP($A99,'calcul intermédiaire3 graphique'!$A$2:$G$13,COLUMN(D$1),FALSE))</f>
        <v/>
      </c>
      <c r="E99" s="15" t="str">
        <f>IF(TYPE(VLOOKUP($A99,'calcul intermédiaire3 graphique'!$A$2:$G$13,COLUMN(E$1),FALSE))=16,"",VLOOKUP($A99,'calcul intermédiaire3 graphique'!$A$2:$G$13,COLUMN(E$1),FALSE))</f>
        <v/>
      </c>
      <c r="F99" s="15" t="str">
        <f>IF(TYPE(VLOOKUP($A99,'calcul intermédiaire3 graphique'!$A$2:$G$13,COLUMN(F$1),FALSE))=16,"",VLOOKUP($A99,'calcul intermédiaire3 graphique'!$A$2:$G$13,COLUMN(F$1),FALSE))</f>
        <v/>
      </c>
      <c r="G99" s="15" t="str">
        <f>IF(TYPE(VLOOKUP($A99,'calcul intermédiaire3 graphique'!$A$2:$G$13,COLUMN(G$1),FALSE))=16,"",VLOOKUP($A99,'calcul intermédiaire3 graphique'!$A$2:$G$13,COLUMN(G$1),FALSE))</f>
        <v/>
      </c>
      <c r="H99" s="15">
        <v>3</v>
      </c>
      <c r="I99" s="15" t="str">
        <f>IF(TYPE(VLOOKUP($A99,'calcul intermédiaire3 graphique'!$A$2:$G$13,COLUMN(I$1),FALSE))=16,"",VLOOKUP($A99,'calcul intermédiaire3 graphique'!$A$2:$G$13,COLUMN(I$1),FALSE))</f>
        <v/>
      </c>
    </row>
    <row r="100" spans="1:9" x14ac:dyDescent="0.2">
      <c r="A100">
        <v>2004</v>
      </c>
      <c r="B100" s="15" t="str">
        <f>IF(TYPE(VLOOKUP($A100,'calcul intermédiaire3 graphique'!$A$2:$G$13,COLUMN(B$1),FALSE))=16,"",VLOOKUP($A100,'calcul intermédiaire3 graphique'!$A$2:$G$13,COLUMN(B$1),FALSE))</f>
        <v/>
      </c>
      <c r="C100" s="15" t="str">
        <f>IF(TYPE(VLOOKUP($A100,'calcul intermédiaire3 graphique'!$A$2:$G$13,COLUMN(C$1),FALSE))=16,"",VLOOKUP($A100,'calcul intermédiaire3 graphique'!$A$2:$G$13,COLUMN(C$1),FALSE))</f>
        <v/>
      </c>
      <c r="D100" s="15" t="str">
        <f>IF(TYPE(VLOOKUP($A100,'calcul intermédiaire3 graphique'!$A$2:$G$13,COLUMN(D$1),FALSE))=16,"",VLOOKUP($A100,'calcul intermédiaire3 graphique'!$A$2:$G$13,COLUMN(D$1),FALSE))</f>
        <v/>
      </c>
      <c r="E100" s="15" t="str">
        <f>IF(TYPE(VLOOKUP($A100,'calcul intermédiaire3 graphique'!$A$2:$G$13,COLUMN(E$1),FALSE))=16,"",VLOOKUP($A100,'calcul intermédiaire3 graphique'!$A$2:$G$13,COLUMN(E$1),FALSE))</f>
        <v/>
      </c>
      <c r="F100" s="15" t="str">
        <f>IF(TYPE(VLOOKUP($A100,'calcul intermédiaire3 graphique'!$A$2:$G$13,COLUMN(F$1),FALSE))=16,"",VLOOKUP($A100,'calcul intermédiaire3 graphique'!$A$2:$G$13,COLUMN(F$1),FALSE))</f>
        <v/>
      </c>
      <c r="G100" s="15" t="str">
        <f>IF(TYPE(VLOOKUP($A100,'calcul intermédiaire3 graphique'!$A$2:$G$13,COLUMN(G$1),FALSE))=16,"",VLOOKUP($A100,'calcul intermédiaire3 graphique'!$A$2:$G$13,COLUMN(G$1),FALSE))</f>
        <v/>
      </c>
      <c r="H100" s="15">
        <v>4</v>
      </c>
      <c r="I100" s="15" t="str">
        <f>IF(TYPE(VLOOKUP($A100,'calcul intermédiaire3 graphique'!$A$2:$G$13,COLUMN(I$1),FALSE))=16,"",VLOOKUP($A100,'calcul intermédiaire3 graphique'!$A$2:$G$13,COLUMN(I$1),FALSE))</f>
        <v/>
      </c>
    </row>
    <row r="101" spans="1:9" x14ac:dyDescent="0.2">
      <c r="A101">
        <v>2005</v>
      </c>
      <c r="B101" s="15" t="str">
        <f>IF(TYPE(VLOOKUP($A101,'calcul intermédiaire3 graphique'!$A$2:$G$13,COLUMN(B$1),FALSE))=16,"",VLOOKUP($A101,'calcul intermédiaire3 graphique'!$A$2:$G$13,COLUMN(B$1),FALSE))</f>
        <v/>
      </c>
      <c r="C101" s="15" t="str">
        <f>IF(TYPE(VLOOKUP($A101,'calcul intermédiaire3 graphique'!$A$2:$G$13,COLUMN(C$1),FALSE))=16,"",VLOOKUP($A101,'calcul intermédiaire3 graphique'!$A$2:$G$13,COLUMN(C$1),FALSE))</f>
        <v/>
      </c>
      <c r="D101" s="15" t="str">
        <f>IF(TYPE(VLOOKUP($A101,'calcul intermédiaire3 graphique'!$A$2:$G$13,COLUMN(D$1),FALSE))=16,"",VLOOKUP($A101,'calcul intermédiaire3 graphique'!$A$2:$G$13,COLUMN(D$1),FALSE))</f>
        <v/>
      </c>
      <c r="E101" s="15" t="str">
        <f>IF(TYPE(VLOOKUP($A101,'calcul intermédiaire3 graphique'!$A$2:$G$13,COLUMN(E$1),FALSE))=16,"",VLOOKUP($A101,'calcul intermédiaire3 graphique'!$A$2:$G$13,COLUMN(E$1),FALSE))</f>
        <v/>
      </c>
      <c r="F101" s="15" t="str">
        <f>IF(TYPE(VLOOKUP($A101,'calcul intermédiaire3 graphique'!$A$2:$G$13,COLUMN(F$1),FALSE))=16,"",VLOOKUP($A101,'calcul intermédiaire3 graphique'!$A$2:$G$13,COLUMN(F$1),FALSE))</f>
        <v/>
      </c>
      <c r="G101" s="15" t="str">
        <f>IF(TYPE(VLOOKUP($A101,'calcul intermédiaire3 graphique'!$A$2:$G$13,COLUMN(G$1),FALSE))=16,"",VLOOKUP($A101,'calcul intermédiaire3 graphique'!$A$2:$G$13,COLUMN(G$1),FALSE))</f>
        <v/>
      </c>
      <c r="H101" s="15">
        <v>5</v>
      </c>
      <c r="I101" s="15" t="str">
        <f>IF(TYPE(VLOOKUP($A101,'calcul intermédiaire3 graphique'!$A$2:$G$13,COLUMN(I$1),FALSE))=16,"",VLOOKUP($A101,'calcul intermédiaire3 graphique'!$A$2:$G$13,COLUMN(I$1),FALSE))</f>
        <v/>
      </c>
    </row>
    <row r="102" spans="1:9" x14ac:dyDescent="0.2">
      <c r="A102">
        <v>2006</v>
      </c>
      <c r="B102" s="15" t="str">
        <f>IF(TYPE(VLOOKUP($A102,'calcul intermédiaire3 graphique'!$A$2:$G$13,COLUMN(B$1),FALSE))=16,"",VLOOKUP($A102,'calcul intermédiaire3 graphique'!$A$2:$G$13,COLUMN(B$1),FALSE))</f>
        <v/>
      </c>
      <c r="C102" s="15" t="str">
        <f>IF(TYPE(VLOOKUP($A102,'calcul intermédiaire3 graphique'!$A$2:$G$13,COLUMN(C$1),FALSE))=16,"",VLOOKUP($A102,'calcul intermédiaire3 graphique'!$A$2:$G$13,COLUMN(C$1),FALSE))</f>
        <v/>
      </c>
      <c r="D102" s="15" t="str">
        <f>IF(TYPE(VLOOKUP($A102,'calcul intermédiaire3 graphique'!$A$2:$G$13,COLUMN(D$1),FALSE))=16,"",VLOOKUP($A102,'calcul intermédiaire3 graphique'!$A$2:$G$13,COLUMN(D$1),FALSE))</f>
        <v/>
      </c>
      <c r="E102" s="15" t="str">
        <f>IF(TYPE(VLOOKUP($A102,'calcul intermédiaire3 graphique'!$A$2:$G$13,COLUMN(E$1),FALSE))=16,"",VLOOKUP($A102,'calcul intermédiaire3 graphique'!$A$2:$G$13,COLUMN(E$1),FALSE))</f>
        <v/>
      </c>
      <c r="F102" s="15" t="str">
        <f>IF(TYPE(VLOOKUP($A102,'calcul intermédiaire3 graphique'!$A$2:$G$13,COLUMN(F$1),FALSE))=16,"",VLOOKUP($A102,'calcul intermédiaire3 graphique'!$A$2:$G$13,COLUMN(F$1),FALSE))</f>
        <v/>
      </c>
      <c r="G102" s="15" t="str">
        <f>IF(TYPE(VLOOKUP($A102,'calcul intermédiaire3 graphique'!$A$2:$G$13,COLUMN(G$1),FALSE))=16,"",VLOOKUP($A102,'calcul intermédiaire3 graphique'!$A$2:$G$13,COLUMN(G$1),FALSE))</f>
        <v/>
      </c>
      <c r="H102" s="15">
        <v>6</v>
      </c>
      <c r="I102" s="15" t="str">
        <f>IF(TYPE(VLOOKUP($A102,'calcul intermédiaire3 graphique'!$A$2:$G$13,COLUMN(I$1),FALSE))=16,"",VLOOKUP($A102,'calcul intermédiaire3 graphique'!$A$2:$G$13,COLUMN(I$1),FALSE))</f>
        <v/>
      </c>
    </row>
    <row r="103" spans="1:9" x14ac:dyDescent="0.2">
      <c r="A103">
        <v>2007</v>
      </c>
      <c r="B103" s="15" t="str">
        <f>IF(TYPE(VLOOKUP($A103,'calcul intermédiaire3 graphique'!$A$2:$G$13,COLUMN(B$1),FALSE))=16,"",VLOOKUP($A103,'calcul intermédiaire3 graphique'!$A$2:$G$13,COLUMN(B$1),FALSE))</f>
        <v/>
      </c>
      <c r="C103" s="15" t="str">
        <f>IF(TYPE(VLOOKUP($A103,'calcul intermédiaire3 graphique'!$A$2:$G$13,COLUMN(C$1),FALSE))=16,"",VLOOKUP($A103,'calcul intermédiaire3 graphique'!$A$2:$G$13,COLUMN(C$1),FALSE))</f>
        <v/>
      </c>
      <c r="D103" s="15" t="str">
        <f>IF(TYPE(VLOOKUP($A103,'calcul intermédiaire3 graphique'!$A$2:$G$13,COLUMN(D$1),FALSE))=16,"",VLOOKUP($A103,'calcul intermédiaire3 graphique'!$A$2:$G$13,COLUMN(D$1),FALSE))</f>
        <v/>
      </c>
      <c r="E103" s="15" t="str">
        <f>IF(TYPE(VLOOKUP($A103,'calcul intermédiaire3 graphique'!$A$2:$G$13,COLUMN(E$1),FALSE))=16,"",VLOOKUP($A103,'calcul intermédiaire3 graphique'!$A$2:$G$13,COLUMN(E$1),FALSE))</f>
        <v/>
      </c>
      <c r="F103" s="15" t="str">
        <f>IF(TYPE(VLOOKUP($A103,'calcul intermédiaire3 graphique'!$A$2:$G$13,COLUMN(F$1),FALSE))=16,"",VLOOKUP($A103,'calcul intermédiaire3 graphique'!$A$2:$G$13,COLUMN(F$1),FALSE))</f>
        <v/>
      </c>
      <c r="G103" s="15" t="str">
        <f>IF(TYPE(VLOOKUP($A103,'calcul intermédiaire3 graphique'!$A$2:$G$13,COLUMN(G$1),FALSE))=16,"",VLOOKUP($A103,'calcul intermédiaire3 graphique'!$A$2:$G$13,COLUMN(G$1),FALSE))</f>
        <v/>
      </c>
      <c r="H103" s="15">
        <v>7</v>
      </c>
      <c r="I103" s="15" t="str">
        <f>IF(TYPE(VLOOKUP($A103,'calcul intermédiaire3 graphique'!$A$2:$G$13,COLUMN(I$1),FALSE))=16,"",VLOOKUP($A103,'calcul intermédiaire3 graphique'!$A$2:$G$13,COLUMN(I$1),FALSE))</f>
        <v/>
      </c>
    </row>
    <row r="104" spans="1:9" x14ac:dyDescent="0.2">
      <c r="A104">
        <v>2008</v>
      </c>
      <c r="B104" s="15">
        <f>IF(TYPE(VLOOKUP($A104,'calcul intermédiaire3 graphique'!$A$2:$G$13,COLUMN(B$1),FALSE))=16,"",VLOOKUP($A104,'calcul intermédiaire3 graphique'!$A$2:$G$13,COLUMN(B$1),FALSE))</f>
        <v>3659.5</v>
      </c>
      <c r="C104" s="15">
        <f>IF(TYPE(VLOOKUP($A104,'calcul intermédiaire3 graphique'!$A$2:$G$13,COLUMN(C$1),FALSE))=16,"",VLOOKUP($A104,'calcul intermédiaire3 graphique'!$A$2:$G$13,COLUMN(C$1),FALSE))</f>
        <v>3688.8</v>
      </c>
      <c r="D104" s="15">
        <f>IF(TYPE(VLOOKUP($A104,'calcul intermédiaire3 graphique'!$A$2:$G$13,COLUMN(D$1),FALSE))=16,"",VLOOKUP($A104,'calcul intermédiaire3 graphique'!$A$2:$G$13,COLUMN(D$1),FALSE))</f>
        <v>3458.2</v>
      </c>
      <c r="E104" s="15">
        <f>IF(TYPE(VLOOKUP($A104,'calcul intermédiaire3 graphique'!$A$2:$G$13,COLUMN(E$1),FALSE))=16,"",VLOOKUP($A104,'calcul intermédiaire3 graphique'!$A$2:$G$13,COLUMN(E$1),FALSE))</f>
        <v>1406.3</v>
      </c>
      <c r="F104" s="15">
        <f>IF(TYPE(VLOOKUP($A104,'calcul intermédiaire3 graphique'!$A$2:$G$13,COLUMN(F$1),FALSE))=16,"",VLOOKUP($A104,'calcul intermédiaire3 graphique'!$A$2:$G$13,COLUMN(F$1),FALSE))</f>
        <v>750.8</v>
      </c>
      <c r="G104" s="15">
        <f>IF(TYPE(VLOOKUP($A104,'calcul intermédiaire3 graphique'!$A$2:$G$13,COLUMN(G$1),FALSE))=16,"",VLOOKUP($A104,'calcul intermédiaire3 graphique'!$A$2:$G$13,COLUMN(G$1),FALSE))</f>
        <v>184.8</v>
      </c>
      <c r="H104" s="15" t="str">
        <f>IF(TYPE(VLOOKUP($A104,'calcul intermédiaire3 graphique'!$A$2:$G$13,COLUMN(H$1),FALSE))=16,"",VLOOKUP($A104,'calcul intermédiaire3 graphique'!$A$2:$G$13,COLUMN(H$1),FALSE))</f>
        <v/>
      </c>
      <c r="I104" s="15" t="str">
        <f>IF(TYPE(VLOOKUP($A104,'calcul intermédiaire3 graphique'!$A$2:$G$13,COLUMN(I$1),FALSE))=16,"",VLOOKUP($A104,'calcul intermédiaire3 graphique'!$A$2:$G$13,COLUMN(I$1),FALSE))</f>
        <v/>
      </c>
    </row>
    <row r="105" spans="1:9" x14ac:dyDescent="0.2">
      <c r="A105">
        <v>2009</v>
      </c>
      <c r="B105" s="15" t="str">
        <f>IF(TYPE(VLOOKUP($A105,'calcul intermédiaire3 graphique'!$A$2:$G$13,COLUMN(B$1),FALSE))=16,"",VLOOKUP($A105,'calcul intermédiaire3 graphique'!$A$2:$G$13,COLUMN(B$1),FALSE))</f>
        <v/>
      </c>
      <c r="C105" s="15" t="str">
        <f>IF(TYPE(VLOOKUP($A105,'calcul intermédiaire3 graphique'!$A$2:$G$13,COLUMN(C$1),FALSE))=16,"",VLOOKUP($A105,'calcul intermédiaire3 graphique'!$A$2:$G$13,COLUMN(C$1),FALSE))</f>
        <v/>
      </c>
      <c r="D105" s="15" t="str">
        <f>IF(TYPE(VLOOKUP($A105,'calcul intermédiaire3 graphique'!$A$2:$G$13,COLUMN(D$1),FALSE))=16,"",VLOOKUP($A105,'calcul intermédiaire3 graphique'!$A$2:$G$13,COLUMN(D$1),FALSE))</f>
        <v/>
      </c>
      <c r="E105" s="15" t="str">
        <f>IF(TYPE(VLOOKUP($A105,'calcul intermédiaire3 graphique'!$A$2:$G$13,COLUMN(E$1),FALSE))=16,"",VLOOKUP($A105,'calcul intermédiaire3 graphique'!$A$2:$G$13,COLUMN(E$1),FALSE))</f>
        <v/>
      </c>
      <c r="F105" s="15" t="str">
        <f>IF(TYPE(VLOOKUP($A105,'calcul intermédiaire3 graphique'!$A$2:$G$13,COLUMN(F$1),FALSE))=16,"",VLOOKUP($A105,'calcul intermédiaire3 graphique'!$A$2:$G$13,COLUMN(F$1),FALSE))</f>
        <v/>
      </c>
      <c r="G105" s="15" t="str">
        <f>IF(TYPE(VLOOKUP($A105,'calcul intermédiaire3 graphique'!$A$2:$G$13,COLUMN(G$1),FALSE))=16,"",VLOOKUP($A105,'calcul intermédiaire3 graphique'!$A$2:$G$13,COLUMN(G$1),FALSE))</f>
        <v/>
      </c>
      <c r="H105" s="15">
        <v>1</v>
      </c>
      <c r="I105" s="15" t="str">
        <f>IF(TYPE(VLOOKUP($A105,'calcul intermédiaire3 graphique'!$A$2:$G$13,COLUMN(I$1),FALSE))=16,"",VLOOKUP($A105,'calcul intermédiaire3 graphique'!$A$2:$G$13,COLUMN(I$1),FALSE))</f>
        <v/>
      </c>
    </row>
    <row r="106" spans="1:9" x14ac:dyDescent="0.2">
      <c r="A106">
        <v>2010</v>
      </c>
      <c r="B106" s="15" t="str">
        <f>IF(TYPE(VLOOKUP($A106,'calcul intermédiaire3 graphique'!$A$2:$G$13,COLUMN(B$1),FALSE))=16,"",VLOOKUP($A106,'calcul intermédiaire3 graphique'!$A$2:$G$13,COLUMN(B$1),FALSE))</f>
        <v/>
      </c>
      <c r="C106" s="15" t="str">
        <f>IF(TYPE(VLOOKUP($A106,'calcul intermédiaire3 graphique'!$A$2:$G$13,COLUMN(C$1),FALSE))=16,"",VLOOKUP($A106,'calcul intermédiaire3 graphique'!$A$2:$G$13,COLUMN(C$1),FALSE))</f>
        <v/>
      </c>
      <c r="D106" s="15" t="str">
        <f>IF(TYPE(VLOOKUP($A106,'calcul intermédiaire3 graphique'!$A$2:$G$13,COLUMN(D$1),FALSE))=16,"",VLOOKUP($A106,'calcul intermédiaire3 graphique'!$A$2:$G$13,COLUMN(D$1),FALSE))</f>
        <v/>
      </c>
      <c r="E106" s="15" t="str">
        <f>IF(TYPE(VLOOKUP($A106,'calcul intermédiaire3 graphique'!$A$2:$G$13,COLUMN(E$1),FALSE))=16,"",VLOOKUP($A106,'calcul intermédiaire3 graphique'!$A$2:$G$13,COLUMN(E$1),FALSE))</f>
        <v/>
      </c>
      <c r="F106" s="15" t="str">
        <f>IF(TYPE(VLOOKUP($A106,'calcul intermédiaire3 graphique'!$A$2:$G$13,COLUMN(F$1),FALSE))=16,"",VLOOKUP($A106,'calcul intermédiaire3 graphique'!$A$2:$G$13,COLUMN(F$1),FALSE))</f>
        <v/>
      </c>
      <c r="G106" s="15" t="str">
        <f>IF(TYPE(VLOOKUP($A106,'calcul intermédiaire3 graphique'!$A$2:$G$13,COLUMN(G$1),FALSE))=16,"",VLOOKUP($A106,'calcul intermédiaire3 graphique'!$A$2:$G$13,COLUMN(G$1),FALSE))</f>
        <v/>
      </c>
      <c r="H106" s="15">
        <v>2</v>
      </c>
      <c r="I106" s="15" t="str">
        <f>IF(TYPE(VLOOKUP($A106,'calcul intermédiaire3 graphique'!$A$2:$G$13,COLUMN(I$1),FALSE))=16,"",VLOOKUP($A106,'calcul intermédiaire3 graphique'!$A$2:$G$13,COLUMN(I$1),FALSE))</f>
        <v/>
      </c>
    </row>
    <row r="107" spans="1:9" x14ac:dyDescent="0.2">
      <c r="A107">
        <v>2011</v>
      </c>
      <c r="B107" s="15">
        <f>IF(TYPE(VLOOKUP($A107,'calcul intermédiaire3 graphique'!$A$2:$G$13,COLUMN(B$1),FALSE))=16,"",VLOOKUP($A107,'calcul intermédiaire3 graphique'!$A$2:$G$13,COLUMN(B$1),FALSE))</f>
        <v>3723.6</v>
      </c>
      <c r="C107" s="15">
        <f>IF(TYPE(VLOOKUP($A107,'calcul intermédiaire3 graphique'!$A$2:$G$13,COLUMN(C$1),FALSE))=16,"",VLOOKUP($A107,'calcul intermédiaire3 graphique'!$A$2:$G$13,COLUMN(C$1),FALSE))</f>
        <v>3897.5</v>
      </c>
      <c r="D107" s="15">
        <f>IF(TYPE(VLOOKUP($A107,'calcul intermédiaire3 graphique'!$A$2:$G$13,COLUMN(D$1),FALSE))=16,"",VLOOKUP($A107,'calcul intermédiaire3 graphique'!$A$2:$G$13,COLUMN(D$1),FALSE))</f>
        <v>3458</v>
      </c>
      <c r="E107" s="15">
        <f>IF(TYPE(VLOOKUP($A107,'calcul intermédiaire3 graphique'!$A$2:$G$13,COLUMN(E$1),FALSE))=16,"",VLOOKUP($A107,'calcul intermédiaire3 graphique'!$A$2:$G$13,COLUMN(E$1),FALSE))</f>
        <v>1377.8</v>
      </c>
      <c r="F107" s="15">
        <f>IF(TYPE(VLOOKUP($A107,'calcul intermédiaire3 graphique'!$A$2:$G$13,COLUMN(F$1),FALSE))=16,"",VLOOKUP($A107,'calcul intermédiaire3 graphique'!$A$2:$G$13,COLUMN(F$1),FALSE))</f>
        <v>801.2</v>
      </c>
      <c r="G107" s="15">
        <f>IF(TYPE(VLOOKUP($A107,'calcul intermédiaire3 graphique'!$A$2:$G$13,COLUMN(G$1),FALSE))=16,"",VLOOKUP($A107,'calcul intermédiaire3 graphique'!$A$2:$G$13,COLUMN(G$1),FALSE))</f>
        <v>182.3</v>
      </c>
      <c r="H107" s="15" t="str">
        <f>IF(TYPE(VLOOKUP($A107,'calcul intermédiaire3 graphique'!$A$2:$G$13,COLUMN(H$1),FALSE))=16,"",VLOOKUP($A107,'calcul intermédiaire3 graphique'!$A$2:$G$13,COLUMN(H$1),FALSE))</f>
        <v/>
      </c>
      <c r="I107" s="15" t="str">
        <f>IF(TYPE(VLOOKUP($A107,'calcul intermédiaire3 graphique'!$A$2:$G$13,COLUMN(I$1),FALSE))=16,"",VLOOKUP($A107,'calcul intermédiaire3 graphique'!$A$2:$G$13,COLUMN(I$1),FALSE))</f>
        <v/>
      </c>
    </row>
    <row r="108" spans="1:9" x14ac:dyDescent="0.2">
      <c r="A108">
        <v>2012</v>
      </c>
      <c r="H108" s="15">
        <v>1</v>
      </c>
    </row>
    <row r="109" spans="1:9" x14ac:dyDescent="0.2">
      <c r="A109">
        <v>2013</v>
      </c>
      <c r="H109" s="15">
        <v>2</v>
      </c>
    </row>
    <row r="110" spans="1:9" x14ac:dyDescent="0.2">
      <c r="A110">
        <v>2014</v>
      </c>
      <c r="H110" s="15">
        <v>3</v>
      </c>
    </row>
    <row r="111" spans="1:9" x14ac:dyDescent="0.2">
      <c r="A111">
        <v>2015</v>
      </c>
      <c r="H111" s="15">
        <v>4</v>
      </c>
    </row>
    <row r="112" spans="1:9" x14ac:dyDescent="0.2">
      <c r="A112">
        <v>2016</v>
      </c>
      <c r="B112" s="15">
        <f>IF(TYPE(VLOOKUP($A112,'calcul intermédiaire3 graphique'!$A$2:$G$14,COLUMN(B$1),FALSE))=16,"",VLOOKUP($A112,'calcul intermédiaire3 graphique'!$A$2:$G$14,COLUMN(B$1),FALSE))</f>
        <v>4047.1</v>
      </c>
      <c r="C112" s="15">
        <f>IF(TYPE(VLOOKUP($A112,'calcul intermédiaire3 graphique'!$A$2:$G$14,COLUMN(C$1),FALSE))=16,"",VLOOKUP($A112,'calcul intermédiaire3 graphique'!$A$2:$G$14,COLUMN(C$1),FALSE))</f>
        <v>4089.4</v>
      </c>
      <c r="D112" s="15">
        <f>IF(TYPE(VLOOKUP($A112,'calcul intermédiaire3 graphique'!$A$2:$G$14,COLUMN(D$1),FALSE))=16,"",VLOOKUP($A112,'calcul intermédiaire3 graphique'!$A$2:$G$14,COLUMN(D$1),FALSE))</f>
        <v>3455.6</v>
      </c>
      <c r="E112" s="15">
        <f>IF(TYPE(VLOOKUP($A112,'calcul intermédiaire3 graphique'!$A$2:$G$14,COLUMN(E$1),FALSE))=16,"",VLOOKUP($A112,'calcul intermédiaire3 graphique'!$A$2:$G$14,COLUMN(E$1),FALSE))</f>
        <v>1389.1</v>
      </c>
      <c r="F112" s="15">
        <f>IF(TYPE(VLOOKUP($A112,'calcul intermédiaire3 graphique'!$A$2:$G$14,COLUMN(F$1),FALSE))=16,"",VLOOKUP($A112,'calcul intermédiaire3 graphique'!$A$2:$G$14,COLUMN(F$1),FALSE))</f>
        <v>862.1</v>
      </c>
      <c r="G112" s="15">
        <f>IF(TYPE(VLOOKUP($A112,'calcul intermédiaire3 graphique'!$A$2:$G$14,COLUMN(G$1),FALSE))=16,"",VLOOKUP($A112,'calcul intermédiaire3 graphique'!$A$2:$G$14,COLUMN(G$1),FALSE))</f>
        <v>152.19999999999999</v>
      </c>
    </row>
  </sheetData>
  <phoneticPr fontId="0" type="noConversion"/>
  <pageMargins left="0.78740157499999996" right="0.78740157499999996" top="0.984251969" bottom="0.984251969" header="0.4921259845" footer="0.4921259845"/>
  <pageSetup paperSize="9"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H15"/>
  <sheetViews>
    <sheetView workbookViewId="0">
      <selection activeCell="M37" sqref="M37"/>
    </sheetView>
  </sheetViews>
  <sheetFormatPr baseColWidth="10" defaultColWidth="11.42578125" defaultRowHeight="12.75" x14ac:dyDescent="0.2"/>
  <cols>
    <col min="1" max="1" width="10.7109375" customWidth="1"/>
    <col min="2" max="16384" width="11.42578125" style="15"/>
  </cols>
  <sheetData>
    <row r="1" spans="1:112" x14ac:dyDescent="0.2">
      <c r="A1">
        <f t="array" ref="A1:DC7">TRANSPOSE('calcul intermédiaire4 graphique'!A1:G107)</f>
        <v>0</v>
      </c>
      <c r="B1" s="15">
        <v>1906</v>
      </c>
      <c r="C1" s="15">
        <v>1907</v>
      </c>
      <c r="D1" s="15">
        <v>1908</v>
      </c>
      <c r="E1" s="15">
        <v>1909</v>
      </c>
      <c r="F1" s="15">
        <v>1910</v>
      </c>
      <c r="G1" s="15">
        <v>1911</v>
      </c>
      <c r="H1" s="15">
        <v>1912</v>
      </c>
      <c r="I1" s="15">
        <v>1913</v>
      </c>
      <c r="J1" s="15">
        <v>1914</v>
      </c>
      <c r="K1" s="15">
        <v>1915</v>
      </c>
      <c r="L1" s="15">
        <v>1916</v>
      </c>
      <c r="M1" s="15">
        <v>1917</v>
      </c>
      <c r="N1" s="15">
        <v>1918</v>
      </c>
      <c r="O1" s="15">
        <v>1919</v>
      </c>
      <c r="P1" s="15">
        <v>1920</v>
      </c>
      <c r="Q1" s="15">
        <v>1921</v>
      </c>
      <c r="R1" s="15">
        <v>1922</v>
      </c>
      <c r="S1" s="15">
        <v>1923</v>
      </c>
      <c r="T1" s="15">
        <v>1924</v>
      </c>
      <c r="U1" s="15">
        <v>1925</v>
      </c>
      <c r="V1" s="15">
        <v>1926</v>
      </c>
      <c r="W1" s="15">
        <v>1927</v>
      </c>
      <c r="X1" s="15">
        <v>1928</v>
      </c>
      <c r="Y1" s="15">
        <v>1929</v>
      </c>
      <c r="Z1" s="15">
        <v>1930</v>
      </c>
      <c r="AA1" s="15">
        <v>1931</v>
      </c>
      <c r="AB1" s="15">
        <v>1932</v>
      </c>
      <c r="AC1" s="15">
        <v>1933</v>
      </c>
      <c r="AD1" s="15">
        <v>1934</v>
      </c>
      <c r="AE1" s="15">
        <v>1935</v>
      </c>
      <c r="AF1" s="15">
        <v>1936</v>
      </c>
      <c r="AG1" s="15">
        <v>1937</v>
      </c>
      <c r="AH1" s="15">
        <v>1938</v>
      </c>
      <c r="AI1" s="15">
        <v>1939</v>
      </c>
      <c r="AJ1" s="15">
        <v>1940</v>
      </c>
      <c r="AK1" s="15">
        <v>1941</v>
      </c>
      <c r="AL1" s="15">
        <v>1942</v>
      </c>
      <c r="AM1" s="15">
        <v>1943</v>
      </c>
      <c r="AN1" s="15">
        <v>1944</v>
      </c>
      <c r="AO1" s="15">
        <v>1945</v>
      </c>
      <c r="AP1" s="15">
        <v>1946</v>
      </c>
      <c r="AQ1" s="15">
        <v>1947</v>
      </c>
      <c r="AR1" s="15">
        <v>1948</v>
      </c>
      <c r="AS1" s="15">
        <v>1949</v>
      </c>
      <c r="AT1" s="15">
        <v>1950</v>
      </c>
      <c r="AU1" s="15">
        <v>1951</v>
      </c>
      <c r="AV1" s="15">
        <v>1952</v>
      </c>
      <c r="AW1" s="15">
        <v>1953</v>
      </c>
      <c r="AX1" s="15">
        <v>1954</v>
      </c>
      <c r="AY1" s="15">
        <v>1955</v>
      </c>
      <c r="AZ1" s="15">
        <v>1956</v>
      </c>
      <c r="BA1" s="15">
        <v>1957</v>
      </c>
      <c r="BB1" s="15">
        <v>1958</v>
      </c>
      <c r="BC1" s="15">
        <v>1959</v>
      </c>
      <c r="BD1" s="15">
        <v>1960</v>
      </c>
      <c r="BE1" s="15">
        <v>1961</v>
      </c>
      <c r="BF1" s="15">
        <v>1962</v>
      </c>
      <c r="BG1" s="15">
        <v>1963</v>
      </c>
      <c r="BH1" s="15">
        <v>1964</v>
      </c>
      <c r="BI1" s="15">
        <v>1965</v>
      </c>
      <c r="BJ1" s="15">
        <v>1966</v>
      </c>
      <c r="BK1" s="15">
        <v>1967</v>
      </c>
      <c r="BL1" s="15">
        <v>1968</v>
      </c>
      <c r="BM1" s="15">
        <v>1969</v>
      </c>
      <c r="BN1" s="15">
        <v>1970</v>
      </c>
      <c r="BO1" s="15">
        <v>1971</v>
      </c>
      <c r="BP1" s="15">
        <v>1972</v>
      </c>
      <c r="BQ1" s="15">
        <v>1973</v>
      </c>
      <c r="BR1" s="15">
        <v>1974</v>
      </c>
      <c r="BS1" s="15">
        <v>1975</v>
      </c>
      <c r="BT1" s="15">
        <v>1976</v>
      </c>
      <c r="BU1" s="15">
        <v>1977</v>
      </c>
      <c r="BV1" s="15">
        <v>1978</v>
      </c>
      <c r="BW1" s="15">
        <v>1979</v>
      </c>
      <c r="BX1" s="15">
        <v>1980</v>
      </c>
      <c r="BY1" s="15">
        <v>1981</v>
      </c>
      <c r="BZ1" s="15">
        <v>1982</v>
      </c>
      <c r="CA1" s="15">
        <v>1983</v>
      </c>
      <c r="CB1" s="15">
        <v>1984</v>
      </c>
      <c r="CC1" s="15">
        <v>1985</v>
      </c>
      <c r="CD1" s="15">
        <v>1986</v>
      </c>
      <c r="CE1" s="15">
        <v>1987</v>
      </c>
      <c r="CF1" s="15">
        <v>1988</v>
      </c>
      <c r="CG1" s="15">
        <v>1989</v>
      </c>
      <c r="CH1" s="15">
        <v>1990</v>
      </c>
      <c r="CI1" s="15">
        <v>1991</v>
      </c>
      <c r="CJ1" s="15">
        <v>1992</v>
      </c>
      <c r="CK1" s="15">
        <v>1993</v>
      </c>
      <c r="CL1" s="15">
        <v>1994</v>
      </c>
      <c r="CM1" s="15">
        <v>1995</v>
      </c>
      <c r="CN1" s="15">
        <v>1996</v>
      </c>
      <c r="CO1" s="15">
        <v>1997</v>
      </c>
      <c r="CP1" s="15">
        <v>1998</v>
      </c>
      <c r="CQ1" s="15">
        <v>1999</v>
      </c>
      <c r="CR1" s="15">
        <v>2000</v>
      </c>
      <c r="CS1" s="15">
        <v>2001</v>
      </c>
      <c r="CT1" s="15">
        <v>2002</v>
      </c>
      <c r="CU1" s="15">
        <v>2003</v>
      </c>
      <c r="CV1" s="15">
        <v>2004</v>
      </c>
      <c r="CW1" s="15">
        <v>2005</v>
      </c>
      <c r="CX1" s="15">
        <v>2006</v>
      </c>
      <c r="CY1" s="15">
        <v>2007</v>
      </c>
      <c r="CZ1" s="15">
        <v>2008</v>
      </c>
      <c r="DA1" s="15">
        <v>2009</v>
      </c>
      <c r="DB1" s="15">
        <v>2010</v>
      </c>
      <c r="DC1" s="15">
        <v>2011</v>
      </c>
      <c r="DD1" s="15">
        <v>2012</v>
      </c>
      <c r="DE1" s="15">
        <v>2013</v>
      </c>
      <c r="DF1" s="15">
        <v>2014</v>
      </c>
      <c r="DG1" s="15">
        <v>2015</v>
      </c>
      <c r="DH1" s="15">
        <v>2016</v>
      </c>
    </row>
    <row r="2" spans="1:112" x14ac:dyDescent="0.2">
      <c r="A2" t="str">
        <v>services rendus aux entreprises</v>
      </c>
      <c r="B2" s="15">
        <v>336.80635511533728</v>
      </c>
      <c r="C2" s="15" t="str">
        <v/>
      </c>
      <c r="D2" s="15" t="str">
        <v/>
      </c>
      <c r="E2" s="15" t="str">
        <v/>
      </c>
      <c r="F2" s="15" t="str">
        <v/>
      </c>
      <c r="G2" s="15" t="str">
        <v/>
      </c>
      <c r="H2" s="15" t="str">
        <v/>
      </c>
      <c r="I2" s="15" t="str">
        <v/>
      </c>
      <c r="J2" s="15" t="str">
        <v/>
      </c>
      <c r="K2" s="15" t="str">
        <v/>
      </c>
      <c r="L2" s="15" t="str">
        <v/>
      </c>
      <c r="M2" s="15" t="str">
        <v/>
      </c>
      <c r="N2" s="15" t="str">
        <v/>
      </c>
      <c r="O2" s="15" t="str">
        <v/>
      </c>
      <c r="P2" s="15" t="str">
        <v/>
      </c>
      <c r="Q2" s="15" t="str">
        <v/>
      </c>
      <c r="R2" s="15" t="str">
        <v/>
      </c>
      <c r="S2" s="15" t="str">
        <v/>
      </c>
      <c r="T2" s="15" t="str">
        <v/>
      </c>
      <c r="U2" s="15" t="str">
        <v/>
      </c>
      <c r="V2" s="15">
        <v>478.07454842733273</v>
      </c>
      <c r="W2" s="15" t="str">
        <v/>
      </c>
      <c r="X2" s="15" t="str">
        <v/>
      </c>
      <c r="Y2" s="15" t="str">
        <v/>
      </c>
      <c r="Z2" s="15" t="str">
        <v/>
      </c>
      <c r="AA2" s="15" t="str">
        <v/>
      </c>
      <c r="AB2" s="15" t="str">
        <v/>
      </c>
      <c r="AC2" s="15" t="str">
        <v/>
      </c>
      <c r="AD2" s="15" t="str">
        <v/>
      </c>
      <c r="AE2" s="15" t="str">
        <v/>
      </c>
      <c r="AF2" s="15">
        <v>525.10048372188942</v>
      </c>
      <c r="AG2" s="15" t="str">
        <v/>
      </c>
      <c r="AH2" s="15" t="str">
        <v/>
      </c>
      <c r="AI2" s="15" t="str">
        <v/>
      </c>
      <c r="AJ2" s="15" t="str">
        <v/>
      </c>
      <c r="AK2" s="15" t="str">
        <v/>
      </c>
      <c r="AL2" s="15" t="str">
        <v/>
      </c>
      <c r="AM2" s="15" t="str">
        <v/>
      </c>
      <c r="AN2" s="15" t="str">
        <v/>
      </c>
      <c r="AO2" s="15" t="str">
        <v/>
      </c>
      <c r="AP2" s="15" t="str">
        <v/>
      </c>
      <c r="AQ2" s="15" t="str">
        <v/>
      </c>
      <c r="AR2" s="15" t="str">
        <v/>
      </c>
      <c r="AS2" s="15" t="str">
        <v/>
      </c>
      <c r="AT2" s="15" t="str">
        <v/>
      </c>
      <c r="AU2" s="15" t="str">
        <v/>
      </c>
      <c r="AV2" s="15" t="str">
        <v/>
      </c>
      <c r="AW2" s="15" t="str">
        <v/>
      </c>
      <c r="AX2" s="15">
        <v>692.1</v>
      </c>
      <c r="AY2" s="15" t="str">
        <v/>
      </c>
      <c r="AZ2" s="15" t="str">
        <v/>
      </c>
      <c r="BA2" s="15" t="str">
        <v/>
      </c>
      <c r="BB2" s="15" t="str">
        <v/>
      </c>
      <c r="BC2" s="15" t="str">
        <v/>
      </c>
      <c r="BD2" s="15" t="str">
        <v/>
      </c>
      <c r="BE2" s="15" t="str">
        <v/>
      </c>
      <c r="BF2" s="15">
        <v>797.1</v>
      </c>
      <c r="BG2" s="15" t="str">
        <v/>
      </c>
      <c r="BH2" s="15" t="str">
        <v/>
      </c>
      <c r="BI2" s="15" t="str">
        <v/>
      </c>
      <c r="BJ2" s="15" t="str">
        <v/>
      </c>
      <c r="BK2" s="15" t="str">
        <v/>
      </c>
      <c r="BL2" s="15">
        <v>1009.1</v>
      </c>
      <c r="BM2" s="15" t="str">
        <v/>
      </c>
      <c r="BN2" s="15" t="str">
        <v/>
      </c>
      <c r="BO2" s="15" t="str">
        <v/>
      </c>
      <c r="BP2" s="15" t="str">
        <v/>
      </c>
      <c r="BQ2" s="15" t="str">
        <v/>
      </c>
      <c r="BR2" s="15">
        <v>1277.5999999999999</v>
      </c>
      <c r="BS2" s="15" t="str">
        <v/>
      </c>
      <c r="BT2" s="15" t="str">
        <v/>
      </c>
      <c r="BU2" s="15" t="str">
        <v/>
      </c>
      <c r="BV2" s="15" t="str">
        <v/>
      </c>
      <c r="BW2" s="15" t="str">
        <v/>
      </c>
      <c r="BX2" s="15">
        <v>1574.9</v>
      </c>
      <c r="BY2" s="15" t="str">
        <v/>
      </c>
      <c r="BZ2" s="15" t="str">
        <v/>
      </c>
      <c r="CA2" s="15" t="str">
        <v/>
      </c>
      <c r="CB2" s="15" t="str">
        <v/>
      </c>
      <c r="CC2" s="15" t="str">
        <v/>
      </c>
      <c r="CD2" s="15" t="str">
        <v/>
      </c>
      <c r="CE2" s="15" t="str">
        <v/>
      </c>
      <c r="CF2" s="15" t="str">
        <v/>
      </c>
      <c r="CG2" s="15" t="str">
        <v/>
      </c>
      <c r="CH2" s="15">
        <v>2242.3000000000002</v>
      </c>
      <c r="CI2" s="15" t="str">
        <v/>
      </c>
      <c r="CJ2" s="15" t="str">
        <v/>
      </c>
      <c r="CK2" s="15" t="str">
        <v/>
      </c>
      <c r="CL2" s="15" t="str">
        <v/>
      </c>
      <c r="CM2" s="15" t="str">
        <v/>
      </c>
      <c r="CN2" s="15" t="str">
        <v/>
      </c>
      <c r="CO2" s="15" t="str">
        <v/>
      </c>
      <c r="CP2" s="15" t="str">
        <v/>
      </c>
      <c r="CQ2" s="15" t="str">
        <v/>
      </c>
      <c r="CR2" s="15">
        <v>3158.7</v>
      </c>
      <c r="CS2" s="15" t="str">
        <v/>
      </c>
      <c r="CT2" s="15" t="str">
        <v/>
      </c>
      <c r="CU2" s="15" t="str">
        <v/>
      </c>
      <c r="CV2" s="15" t="str">
        <v/>
      </c>
      <c r="CW2" s="15" t="str">
        <v/>
      </c>
      <c r="CX2" s="15" t="str">
        <v/>
      </c>
      <c r="CY2" s="15" t="str">
        <v/>
      </c>
      <c r="CZ2" s="15">
        <v>3659.5</v>
      </c>
      <c r="DA2" s="15" t="str">
        <v/>
      </c>
      <c r="DB2" s="15" t="str">
        <v/>
      </c>
      <c r="DC2" s="15">
        <v>3723.6</v>
      </c>
      <c r="DH2" s="15">
        <f t="array" ref="DH2:DH7">TRANSPOSE('calcul intermédiaire4 graphique'!B112:G112)</f>
        <v>4047.1</v>
      </c>
    </row>
    <row r="3" spans="1:112" x14ac:dyDescent="0.2">
      <c r="A3" t="str">
        <v>Santé et action sociale</v>
      </c>
      <c r="B3" s="15">
        <v>467.10869133003462</v>
      </c>
      <c r="C3" s="15" t="str">
        <v/>
      </c>
      <c r="D3" s="15" t="str">
        <v/>
      </c>
      <c r="E3" s="15" t="str">
        <v/>
      </c>
      <c r="F3" s="15" t="str">
        <v/>
      </c>
      <c r="G3" s="15" t="str">
        <v/>
      </c>
      <c r="H3" s="15" t="str">
        <v/>
      </c>
      <c r="I3" s="15" t="str">
        <v/>
      </c>
      <c r="J3" s="15" t="str">
        <v/>
      </c>
      <c r="K3" s="15" t="str">
        <v/>
      </c>
      <c r="L3" s="15" t="str">
        <v/>
      </c>
      <c r="M3" s="15" t="str">
        <v/>
      </c>
      <c r="N3" s="15" t="str">
        <v/>
      </c>
      <c r="O3" s="15" t="str">
        <v/>
      </c>
      <c r="P3" s="15" t="str">
        <v/>
      </c>
      <c r="Q3" s="15" t="str">
        <v/>
      </c>
      <c r="R3" s="15" t="str">
        <v/>
      </c>
      <c r="S3" s="15" t="str">
        <v/>
      </c>
      <c r="T3" s="15" t="str">
        <v/>
      </c>
      <c r="U3" s="15" t="str">
        <v/>
      </c>
      <c r="V3" s="15">
        <v>678.28543273067953</v>
      </c>
      <c r="W3" s="15" t="str">
        <v/>
      </c>
      <c r="X3" s="15" t="str">
        <v/>
      </c>
      <c r="Y3" s="15" t="str">
        <v/>
      </c>
      <c r="Z3" s="15" t="str">
        <v/>
      </c>
      <c r="AA3" s="15" t="str">
        <v/>
      </c>
      <c r="AB3" s="15" t="str">
        <v/>
      </c>
      <c r="AC3" s="15" t="str">
        <v/>
      </c>
      <c r="AD3" s="15" t="str">
        <v/>
      </c>
      <c r="AE3" s="15" t="str">
        <v/>
      </c>
      <c r="AF3" s="15">
        <v>859.71305566922342</v>
      </c>
      <c r="AG3" s="15" t="str">
        <v/>
      </c>
      <c r="AH3" s="15" t="str">
        <v/>
      </c>
      <c r="AI3" s="15" t="str">
        <v/>
      </c>
      <c r="AJ3" s="15" t="str">
        <v/>
      </c>
      <c r="AK3" s="15" t="str">
        <v/>
      </c>
      <c r="AL3" s="15" t="str">
        <v/>
      </c>
      <c r="AM3" s="15" t="str">
        <v/>
      </c>
      <c r="AN3" s="15" t="str">
        <v/>
      </c>
      <c r="AO3" s="15" t="str">
        <v/>
      </c>
      <c r="AP3" s="15" t="str">
        <v/>
      </c>
      <c r="AQ3" s="15" t="str">
        <v/>
      </c>
      <c r="AR3" s="15" t="str">
        <v/>
      </c>
      <c r="AS3" s="15" t="str">
        <v/>
      </c>
      <c r="AT3" s="15" t="str">
        <v/>
      </c>
      <c r="AU3" s="15" t="str">
        <v/>
      </c>
      <c r="AV3" s="15" t="str">
        <v/>
      </c>
      <c r="AW3" s="15" t="str">
        <v/>
      </c>
      <c r="AX3" s="15">
        <v>1220.9506977363073</v>
      </c>
      <c r="AY3" s="15" t="str">
        <v/>
      </c>
      <c r="AZ3" s="15" t="str">
        <v/>
      </c>
      <c r="BA3" s="15" t="str">
        <v/>
      </c>
      <c r="BB3" s="15" t="str">
        <v/>
      </c>
      <c r="BC3" s="15" t="str">
        <v/>
      </c>
      <c r="BD3" s="15" t="str">
        <v/>
      </c>
      <c r="BE3" s="15" t="str">
        <v/>
      </c>
      <c r="BF3" s="15">
        <v>1407.8000000000002</v>
      </c>
      <c r="BG3" s="15" t="str">
        <v/>
      </c>
      <c r="BH3" s="15" t="str">
        <v/>
      </c>
      <c r="BI3" s="15" t="str">
        <v/>
      </c>
      <c r="BJ3" s="15" t="str">
        <v/>
      </c>
      <c r="BK3" s="15" t="str">
        <v/>
      </c>
      <c r="BL3" s="15">
        <v>1573.5</v>
      </c>
      <c r="BM3" s="15" t="str">
        <v/>
      </c>
      <c r="BN3" s="15" t="str">
        <v/>
      </c>
      <c r="BO3" s="15" t="str">
        <v/>
      </c>
      <c r="BP3" s="15" t="str">
        <v/>
      </c>
      <c r="BQ3" s="15" t="str">
        <v/>
      </c>
      <c r="BR3" s="15">
        <v>1793.5</v>
      </c>
      <c r="BS3" s="15" t="str">
        <v/>
      </c>
      <c r="BT3" s="15" t="str">
        <v/>
      </c>
      <c r="BU3" s="15" t="str">
        <v/>
      </c>
      <c r="BV3" s="15" t="str">
        <v/>
      </c>
      <c r="BW3" s="15" t="str">
        <v/>
      </c>
      <c r="BX3" s="15">
        <v>2036.1</v>
      </c>
      <c r="BY3" s="15" t="str">
        <v/>
      </c>
      <c r="BZ3" s="15" t="str">
        <v/>
      </c>
      <c r="CA3" s="15" t="str">
        <v/>
      </c>
      <c r="CB3" s="15" t="str">
        <v/>
      </c>
      <c r="CC3" s="15" t="str">
        <v/>
      </c>
      <c r="CD3" s="15" t="str">
        <v/>
      </c>
      <c r="CE3" s="15" t="str">
        <v/>
      </c>
      <c r="CF3" s="15" t="str">
        <v/>
      </c>
      <c r="CG3" s="15" t="str">
        <v/>
      </c>
      <c r="CH3" s="15">
        <v>2531.1</v>
      </c>
      <c r="CI3" s="15" t="str">
        <v/>
      </c>
      <c r="CJ3" s="15" t="str">
        <v/>
      </c>
      <c r="CK3" s="15" t="str">
        <v/>
      </c>
      <c r="CL3" s="15" t="str">
        <v/>
      </c>
      <c r="CM3" s="15" t="str">
        <v/>
      </c>
      <c r="CN3" s="15" t="str">
        <v/>
      </c>
      <c r="CO3" s="15" t="str">
        <v/>
      </c>
      <c r="CP3" s="15" t="str">
        <v/>
      </c>
      <c r="CQ3" s="15" t="str">
        <v/>
      </c>
      <c r="CR3" s="15">
        <v>3183.4</v>
      </c>
      <c r="CS3" s="15" t="str">
        <v/>
      </c>
      <c r="CT3" s="15" t="str">
        <v/>
      </c>
      <c r="CU3" s="15" t="str">
        <v/>
      </c>
      <c r="CV3" s="15" t="str">
        <v/>
      </c>
      <c r="CW3" s="15" t="str">
        <v/>
      </c>
      <c r="CX3" s="15" t="str">
        <v/>
      </c>
      <c r="CY3" s="15" t="str">
        <v/>
      </c>
      <c r="CZ3" s="15">
        <v>3688.8</v>
      </c>
      <c r="DA3" s="15" t="str">
        <v/>
      </c>
      <c r="DB3" s="15" t="str">
        <v/>
      </c>
      <c r="DC3" s="15">
        <v>3897.5</v>
      </c>
      <c r="DH3" s="15">
        <v>4089.4</v>
      </c>
    </row>
    <row r="4" spans="1:112" x14ac:dyDescent="0.2">
      <c r="A4" t="str">
        <v>Commerce</v>
      </c>
      <c r="B4" s="15">
        <v>1203.9146586345382</v>
      </c>
      <c r="C4" s="15" t="str">
        <v/>
      </c>
      <c r="D4" s="15" t="str">
        <v/>
      </c>
      <c r="E4" s="15" t="str">
        <v/>
      </c>
      <c r="F4" s="15" t="str">
        <v/>
      </c>
      <c r="G4" s="15" t="str">
        <v/>
      </c>
      <c r="H4" s="15" t="str">
        <v/>
      </c>
      <c r="I4" s="15" t="str">
        <v/>
      </c>
      <c r="J4" s="15" t="str">
        <v/>
      </c>
      <c r="K4" s="15" t="str">
        <v/>
      </c>
      <c r="L4" s="15" t="str">
        <v/>
      </c>
      <c r="M4" s="15" t="str">
        <v/>
      </c>
      <c r="N4" s="15" t="str">
        <v/>
      </c>
      <c r="O4" s="15" t="str">
        <v/>
      </c>
      <c r="P4" s="15" t="str">
        <v/>
      </c>
      <c r="Q4" s="15" t="str">
        <v/>
      </c>
      <c r="R4" s="15" t="str">
        <v/>
      </c>
      <c r="S4" s="15" t="str">
        <v/>
      </c>
      <c r="T4" s="15" t="str">
        <v/>
      </c>
      <c r="U4" s="15" t="str">
        <v/>
      </c>
      <c r="V4" s="15">
        <v>1544.4248493975904</v>
      </c>
      <c r="W4" s="15" t="str">
        <v/>
      </c>
      <c r="X4" s="15" t="str">
        <v/>
      </c>
      <c r="Y4" s="15" t="str">
        <v/>
      </c>
      <c r="Z4" s="15" t="str">
        <v/>
      </c>
      <c r="AA4" s="15" t="str">
        <v/>
      </c>
      <c r="AB4" s="15" t="str">
        <v/>
      </c>
      <c r="AC4" s="15" t="str">
        <v/>
      </c>
      <c r="AD4" s="15" t="str">
        <v/>
      </c>
      <c r="AE4" s="15" t="str">
        <v/>
      </c>
      <c r="AF4" s="15">
        <v>1691.7696285140562</v>
      </c>
      <c r="AG4" s="15" t="str">
        <v/>
      </c>
      <c r="AH4" s="15" t="str">
        <v/>
      </c>
      <c r="AI4" s="15" t="str">
        <v/>
      </c>
      <c r="AJ4" s="15" t="str">
        <v/>
      </c>
      <c r="AK4" s="15" t="str">
        <v/>
      </c>
      <c r="AL4" s="15" t="str">
        <v/>
      </c>
      <c r="AM4" s="15" t="str">
        <v/>
      </c>
      <c r="AN4" s="15" t="str">
        <v/>
      </c>
      <c r="AO4" s="15" t="str">
        <v/>
      </c>
      <c r="AP4" s="15" t="str">
        <v/>
      </c>
      <c r="AQ4" s="15" t="str">
        <v/>
      </c>
      <c r="AR4" s="15" t="str">
        <v/>
      </c>
      <c r="AS4" s="15" t="str">
        <v/>
      </c>
      <c r="AT4" s="15" t="str">
        <v/>
      </c>
      <c r="AU4" s="15" t="str">
        <v/>
      </c>
      <c r="AV4" s="15" t="str">
        <v/>
      </c>
      <c r="AW4" s="15" t="str">
        <v/>
      </c>
      <c r="AX4" s="15">
        <v>1789.7</v>
      </c>
      <c r="AY4" s="15" t="str">
        <v/>
      </c>
      <c r="AZ4" s="15" t="str">
        <v/>
      </c>
      <c r="BA4" s="15" t="str">
        <v/>
      </c>
      <c r="BB4" s="15" t="str">
        <v/>
      </c>
      <c r="BC4" s="15" t="str">
        <v/>
      </c>
      <c r="BD4" s="15" t="str">
        <v/>
      </c>
      <c r="BE4" s="15" t="str">
        <v/>
      </c>
      <c r="BF4" s="15">
        <v>2110.5</v>
      </c>
      <c r="BG4" s="15" t="str">
        <v/>
      </c>
      <c r="BH4" s="15" t="str">
        <v/>
      </c>
      <c r="BI4" s="15" t="str">
        <v/>
      </c>
      <c r="BJ4" s="15" t="str">
        <v/>
      </c>
      <c r="BK4" s="15" t="str">
        <v/>
      </c>
      <c r="BL4" s="15">
        <v>2425.1999999999998</v>
      </c>
      <c r="BM4" s="15" t="str">
        <v/>
      </c>
      <c r="BN4" s="15" t="str">
        <v/>
      </c>
      <c r="BO4" s="15" t="str">
        <v/>
      </c>
      <c r="BP4" s="15" t="str">
        <v/>
      </c>
      <c r="BQ4" s="15" t="str">
        <v/>
      </c>
      <c r="BR4" s="15">
        <v>2677.3</v>
      </c>
      <c r="BS4" s="15" t="str">
        <v/>
      </c>
      <c r="BT4" s="15" t="str">
        <v/>
      </c>
      <c r="BU4" s="15" t="str">
        <v/>
      </c>
      <c r="BV4" s="15" t="str">
        <v/>
      </c>
      <c r="BW4" s="15" t="str">
        <v/>
      </c>
      <c r="BX4" s="15">
        <v>2830.9</v>
      </c>
      <c r="BY4" s="15" t="str">
        <v/>
      </c>
      <c r="BZ4" s="15" t="str">
        <v/>
      </c>
      <c r="CA4" s="15" t="str">
        <v/>
      </c>
      <c r="CB4" s="15" t="str">
        <v/>
      </c>
      <c r="CC4" s="15" t="str">
        <v/>
      </c>
      <c r="CD4" s="15" t="str">
        <v/>
      </c>
      <c r="CE4" s="15" t="str">
        <v/>
      </c>
      <c r="CF4" s="15" t="str">
        <v/>
      </c>
      <c r="CG4" s="15" t="str">
        <v/>
      </c>
      <c r="CH4" s="15">
        <v>3001</v>
      </c>
      <c r="CI4" s="15" t="str">
        <v/>
      </c>
      <c r="CJ4" s="15" t="str">
        <v/>
      </c>
      <c r="CK4" s="15" t="str">
        <v/>
      </c>
      <c r="CL4" s="15" t="str">
        <v/>
      </c>
      <c r="CM4" s="15" t="str">
        <v/>
      </c>
      <c r="CN4" s="15" t="str">
        <v/>
      </c>
      <c r="CO4" s="15" t="str">
        <v/>
      </c>
      <c r="CP4" s="15" t="str">
        <v/>
      </c>
      <c r="CQ4" s="15" t="str">
        <v/>
      </c>
      <c r="CR4" s="15">
        <v>3182.7</v>
      </c>
      <c r="CS4" s="15" t="str">
        <v/>
      </c>
      <c r="CT4" s="15" t="str">
        <v/>
      </c>
      <c r="CU4" s="15" t="str">
        <v/>
      </c>
      <c r="CV4" s="15" t="str">
        <v/>
      </c>
      <c r="CW4" s="15" t="str">
        <v/>
      </c>
      <c r="CX4" s="15" t="str">
        <v/>
      </c>
      <c r="CY4" s="15" t="str">
        <v/>
      </c>
      <c r="CZ4" s="15">
        <v>3458.2</v>
      </c>
      <c r="DA4" s="15" t="str">
        <v/>
      </c>
      <c r="DB4" s="15" t="str">
        <v/>
      </c>
      <c r="DC4" s="15">
        <v>3458</v>
      </c>
      <c r="DH4" s="15">
        <v>3455.6</v>
      </c>
    </row>
    <row r="5" spans="1:112" x14ac:dyDescent="0.2">
      <c r="A5" t="str">
        <v>Transports</v>
      </c>
      <c r="B5" s="15">
        <v>609.21530754892831</v>
      </c>
      <c r="C5" s="15" t="str">
        <v/>
      </c>
      <c r="D5" s="15" t="str">
        <v/>
      </c>
      <c r="E5" s="15" t="str">
        <v/>
      </c>
      <c r="F5" s="15" t="str">
        <v/>
      </c>
      <c r="G5" s="15" t="str">
        <v/>
      </c>
      <c r="H5" s="15" t="str">
        <v/>
      </c>
      <c r="I5" s="15" t="str">
        <v/>
      </c>
      <c r="J5" s="15" t="str">
        <v/>
      </c>
      <c r="K5" s="15" t="str">
        <v/>
      </c>
      <c r="L5" s="15" t="str">
        <v/>
      </c>
      <c r="M5" s="15" t="str">
        <v/>
      </c>
      <c r="N5" s="15" t="str">
        <v/>
      </c>
      <c r="O5" s="15" t="str">
        <v/>
      </c>
      <c r="P5" s="15" t="str">
        <v/>
      </c>
      <c r="Q5" s="15" t="str">
        <v/>
      </c>
      <c r="R5" s="15" t="str">
        <v/>
      </c>
      <c r="S5" s="15" t="str">
        <v/>
      </c>
      <c r="T5" s="15" t="str">
        <v/>
      </c>
      <c r="U5" s="15" t="str">
        <v/>
      </c>
      <c r="V5" s="15">
        <v>916.27250000000004</v>
      </c>
      <c r="W5" s="15" t="str">
        <v/>
      </c>
      <c r="X5" s="15" t="str">
        <v/>
      </c>
      <c r="Y5" s="15" t="str">
        <v/>
      </c>
      <c r="Z5" s="15" t="str">
        <v/>
      </c>
      <c r="AA5" s="15" t="str">
        <v/>
      </c>
      <c r="AB5" s="15" t="str">
        <v/>
      </c>
      <c r="AC5" s="15" t="str">
        <v/>
      </c>
      <c r="AD5" s="15" t="str">
        <v/>
      </c>
      <c r="AE5" s="15" t="str">
        <v/>
      </c>
      <c r="AF5" s="15">
        <v>832.5</v>
      </c>
      <c r="AG5" s="15" t="str">
        <v/>
      </c>
      <c r="AH5" s="15" t="str">
        <v/>
      </c>
      <c r="AI5" s="15" t="str">
        <v/>
      </c>
      <c r="AJ5" s="15" t="str">
        <v/>
      </c>
      <c r="AK5" s="15" t="str">
        <v/>
      </c>
      <c r="AL5" s="15" t="str">
        <v/>
      </c>
      <c r="AM5" s="15" t="str">
        <v/>
      </c>
      <c r="AN5" s="15" t="str">
        <v/>
      </c>
      <c r="AO5" s="15" t="str">
        <v/>
      </c>
      <c r="AP5" s="15" t="str">
        <v/>
      </c>
      <c r="AQ5" s="15" t="str">
        <v/>
      </c>
      <c r="AR5" s="15" t="str">
        <v/>
      </c>
      <c r="AS5" s="15" t="str">
        <v/>
      </c>
      <c r="AT5" s="15" t="str">
        <v/>
      </c>
      <c r="AU5" s="15" t="str">
        <v/>
      </c>
      <c r="AV5" s="15" t="str">
        <v/>
      </c>
      <c r="AW5" s="15" t="str">
        <v/>
      </c>
      <c r="AX5" s="15">
        <v>780</v>
      </c>
      <c r="AY5" s="15" t="str">
        <v/>
      </c>
      <c r="AZ5" s="15" t="str">
        <v/>
      </c>
      <c r="BA5" s="15" t="str">
        <v/>
      </c>
      <c r="BB5" s="15" t="str">
        <v/>
      </c>
      <c r="BC5" s="15" t="str">
        <v/>
      </c>
      <c r="BD5" s="15" t="str">
        <v/>
      </c>
      <c r="BE5" s="15" t="str">
        <v/>
      </c>
      <c r="BF5" s="15">
        <v>857.4</v>
      </c>
      <c r="BG5" s="15" t="str">
        <v/>
      </c>
      <c r="BH5" s="15" t="str">
        <v/>
      </c>
      <c r="BI5" s="15" t="str">
        <v/>
      </c>
      <c r="BJ5" s="15" t="str">
        <v/>
      </c>
      <c r="BK5" s="15" t="str">
        <v/>
      </c>
      <c r="BL5" s="15">
        <v>953.4</v>
      </c>
      <c r="BM5" s="15" t="str">
        <v/>
      </c>
      <c r="BN5" s="15" t="str">
        <v/>
      </c>
      <c r="BO5" s="15" t="str">
        <v/>
      </c>
      <c r="BP5" s="15" t="str">
        <v/>
      </c>
      <c r="BQ5" s="15" t="str">
        <v/>
      </c>
      <c r="BR5" s="15">
        <v>1037.8</v>
      </c>
      <c r="BS5" s="15" t="str">
        <v/>
      </c>
      <c r="BT5" s="15" t="str">
        <v/>
      </c>
      <c r="BU5" s="15" t="str">
        <v/>
      </c>
      <c r="BV5" s="15" t="str">
        <v/>
      </c>
      <c r="BW5" s="15" t="str">
        <v/>
      </c>
      <c r="BX5" s="15">
        <v>1110.7</v>
      </c>
      <c r="BY5" s="15" t="str">
        <v/>
      </c>
      <c r="BZ5" s="15" t="str">
        <v/>
      </c>
      <c r="CA5" s="15" t="str">
        <v/>
      </c>
      <c r="CB5" s="15" t="str">
        <v/>
      </c>
      <c r="CC5" s="15" t="str">
        <v/>
      </c>
      <c r="CD5" s="15" t="str">
        <v/>
      </c>
      <c r="CE5" s="15" t="str">
        <v/>
      </c>
      <c r="CF5" s="15" t="str">
        <v/>
      </c>
      <c r="CG5" s="15" t="str">
        <v/>
      </c>
      <c r="CH5" s="15">
        <v>1195.9000000000001</v>
      </c>
      <c r="CI5" s="15" t="str">
        <v/>
      </c>
      <c r="CJ5" s="15" t="str">
        <v/>
      </c>
      <c r="CK5" s="15" t="str">
        <v/>
      </c>
      <c r="CL5" s="15" t="str">
        <v/>
      </c>
      <c r="CM5" s="15" t="str">
        <v/>
      </c>
      <c r="CN5" s="15" t="str">
        <v/>
      </c>
      <c r="CO5" s="15" t="str">
        <v/>
      </c>
      <c r="CP5" s="15" t="str">
        <v/>
      </c>
      <c r="CQ5" s="15" t="str">
        <v/>
      </c>
      <c r="CR5" s="15">
        <v>1322.2</v>
      </c>
      <c r="CS5" s="15" t="str">
        <v/>
      </c>
      <c r="CT5" s="15" t="str">
        <v/>
      </c>
      <c r="CU5" s="15" t="str">
        <v/>
      </c>
      <c r="CV5" s="15" t="str">
        <v/>
      </c>
      <c r="CW5" s="15" t="str">
        <v/>
      </c>
      <c r="CX5" s="15" t="str">
        <v/>
      </c>
      <c r="CY5" s="15" t="str">
        <v/>
      </c>
      <c r="CZ5" s="15">
        <v>1406.3</v>
      </c>
      <c r="DA5" s="15" t="str">
        <v/>
      </c>
      <c r="DB5" s="15" t="str">
        <v/>
      </c>
      <c r="DC5" s="15">
        <v>1377.8</v>
      </c>
      <c r="DH5" s="15">
        <v>1389.1</v>
      </c>
    </row>
    <row r="6" spans="1:112" x14ac:dyDescent="0.2">
      <c r="A6" t="str">
        <v>Autres activités de services aux ménages</v>
      </c>
      <c r="B6" s="15">
        <v>613.9912272725835</v>
      </c>
      <c r="C6" s="15" t="str">
        <v/>
      </c>
      <c r="D6" s="15" t="str">
        <v/>
      </c>
      <c r="E6" s="15" t="str">
        <v/>
      </c>
      <c r="F6" s="15" t="str">
        <v/>
      </c>
      <c r="G6" s="15" t="str">
        <v/>
      </c>
      <c r="H6" s="15" t="str">
        <v/>
      </c>
      <c r="I6" s="15" t="str">
        <v/>
      </c>
      <c r="J6" s="15" t="str">
        <v/>
      </c>
      <c r="K6" s="15" t="str">
        <v/>
      </c>
      <c r="L6" s="15" t="str">
        <v/>
      </c>
      <c r="M6" s="15" t="str">
        <v/>
      </c>
      <c r="N6" s="15" t="str">
        <v/>
      </c>
      <c r="O6" s="15" t="str">
        <v/>
      </c>
      <c r="P6" s="15" t="str">
        <v/>
      </c>
      <c r="Q6" s="15" t="str">
        <v/>
      </c>
      <c r="R6" s="15" t="str">
        <v/>
      </c>
      <c r="S6" s="15" t="str">
        <v/>
      </c>
      <c r="T6" s="15" t="str">
        <v/>
      </c>
      <c r="U6" s="15" t="str">
        <v/>
      </c>
      <c r="V6" s="15">
        <v>516.87765957446811</v>
      </c>
      <c r="W6" s="15" t="str">
        <v/>
      </c>
      <c r="X6" s="15" t="str">
        <v/>
      </c>
      <c r="Y6" s="15" t="str">
        <v/>
      </c>
      <c r="Z6" s="15" t="str">
        <v/>
      </c>
      <c r="AA6" s="15" t="str">
        <v/>
      </c>
      <c r="AB6" s="15" t="str">
        <v/>
      </c>
      <c r="AC6" s="15" t="str">
        <v/>
      </c>
      <c r="AD6" s="15" t="str">
        <v/>
      </c>
      <c r="AE6" s="15" t="str">
        <v/>
      </c>
      <c r="AF6" s="15">
        <v>589.88297872340422</v>
      </c>
      <c r="AG6" s="15" t="str">
        <v/>
      </c>
      <c r="AH6" s="15" t="str">
        <v/>
      </c>
      <c r="AI6" s="15" t="str">
        <v/>
      </c>
      <c r="AJ6" s="15" t="str">
        <v/>
      </c>
      <c r="AK6" s="15" t="str">
        <v/>
      </c>
      <c r="AL6" s="15" t="str">
        <v/>
      </c>
      <c r="AM6" s="15" t="str">
        <v/>
      </c>
      <c r="AN6" s="15" t="str">
        <v/>
      </c>
      <c r="AO6" s="15" t="str">
        <v/>
      </c>
      <c r="AP6" s="15" t="str">
        <v/>
      </c>
      <c r="AQ6" s="15" t="str">
        <v/>
      </c>
      <c r="AR6" s="15" t="str">
        <v/>
      </c>
      <c r="AS6" s="15" t="str">
        <v/>
      </c>
      <c r="AT6" s="15" t="str">
        <v/>
      </c>
      <c r="AU6" s="15" t="str">
        <v/>
      </c>
      <c r="AV6" s="15" t="str">
        <v/>
      </c>
      <c r="AW6" s="15" t="str">
        <v/>
      </c>
      <c r="AX6" s="15">
        <v>549</v>
      </c>
      <c r="AY6" s="15" t="str">
        <v/>
      </c>
      <c r="AZ6" s="15" t="str">
        <v/>
      </c>
      <c r="BA6" s="15" t="str">
        <v/>
      </c>
      <c r="BB6" s="15" t="str">
        <v/>
      </c>
      <c r="BC6" s="15" t="str">
        <v/>
      </c>
      <c r="BD6" s="15" t="str">
        <v/>
      </c>
      <c r="BE6" s="15" t="str">
        <v/>
      </c>
      <c r="BF6" s="15">
        <v>544.9</v>
      </c>
      <c r="BG6" s="15" t="str">
        <v/>
      </c>
      <c r="BH6" s="15" t="str">
        <v/>
      </c>
      <c r="BI6" s="15" t="str">
        <v/>
      </c>
      <c r="BJ6" s="15" t="str">
        <v/>
      </c>
      <c r="BK6" s="15" t="str">
        <v/>
      </c>
      <c r="BL6" s="15">
        <v>532.1</v>
      </c>
      <c r="BM6" s="15" t="str">
        <v/>
      </c>
      <c r="BN6" s="15" t="str">
        <v/>
      </c>
      <c r="BO6" s="15" t="str">
        <v/>
      </c>
      <c r="BP6" s="15" t="str">
        <v/>
      </c>
      <c r="BQ6" s="15" t="str">
        <v/>
      </c>
      <c r="BR6" s="15">
        <v>511</v>
      </c>
      <c r="BS6" s="15" t="str">
        <v/>
      </c>
      <c r="BT6" s="15" t="str">
        <v/>
      </c>
      <c r="BU6" s="15" t="str">
        <v/>
      </c>
      <c r="BV6" s="15" t="str">
        <v/>
      </c>
      <c r="BW6" s="15" t="str">
        <v/>
      </c>
      <c r="BX6" s="15">
        <v>508.9</v>
      </c>
      <c r="BY6" s="15" t="str">
        <v/>
      </c>
      <c r="BZ6" s="15" t="str">
        <v/>
      </c>
      <c r="CA6" s="15" t="str">
        <v/>
      </c>
      <c r="CB6" s="15" t="str">
        <v/>
      </c>
      <c r="CC6" s="15" t="str">
        <v/>
      </c>
      <c r="CD6" s="15" t="str">
        <v/>
      </c>
      <c r="CE6" s="15" t="str">
        <v/>
      </c>
      <c r="CF6" s="15" t="str">
        <v/>
      </c>
      <c r="CG6" s="15" t="str">
        <v/>
      </c>
      <c r="CH6" s="15">
        <v>555.9</v>
      </c>
      <c r="CI6" s="15" t="str">
        <v/>
      </c>
      <c r="CJ6" s="15" t="str">
        <v/>
      </c>
      <c r="CK6" s="15" t="str">
        <v/>
      </c>
      <c r="CL6" s="15" t="str">
        <v/>
      </c>
      <c r="CM6" s="15" t="str">
        <v/>
      </c>
      <c r="CN6" s="15" t="str">
        <v/>
      </c>
      <c r="CO6" s="15" t="str">
        <v/>
      </c>
      <c r="CP6" s="15" t="str">
        <v/>
      </c>
      <c r="CQ6" s="15" t="str">
        <v/>
      </c>
      <c r="CR6" s="15">
        <v>881.5</v>
      </c>
      <c r="CS6" s="15" t="str">
        <v/>
      </c>
      <c r="CT6" s="15" t="str">
        <v/>
      </c>
      <c r="CU6" s="15" t="str">
        <v/>
      </c>
      <c r="CV6" s="15" t="str">
        <v/>
      </c>
      <c r="CW6" s="15" t="str">
        <v/>
      </c>
      <c r="CX6" s="15" t="str">
        <v/>
      </c>
      <c r="CY6" s="15" t="str">
        <v/>
      </c>
      <c r="CZ6" s="15">
        <v>750.8</v>
      </c>
      <c r="DA6" s="15" t="str">
        <v/>
      </c>
      <c r="DB6" s="15" t="str">
        <v/>
      </c>
      <c r="DC6" s="15">
        <v>801.2</v>
      </c>
      <c r="DH6" s="15">
        <v>862.1</v>
      </c>
    </row>
    <row r="7" spans="1:112" x14ac:dyDescent="0.2">
      <c r="A7" t="str">
        <v xml:space="preserve">Activ  ménages : employeurs, produc  biens </v>
      </c>
      <c r="B7" s="15">
        <v>246.72972661343391</v>
      </c>
      <c r="C7" s="15" t="str">
        <v/>
      </c>
      <c r="D7" s="15" t="str">
        <v/>
      </c>
      <c r="E7" s="15" t="str">
        <v/>
      </c>
      <c r="F7" s="15" t="str">
        <v/>
      </c>
      <c r="G7" s="15" t="str">
        <v/>
      </c>
      <c r="H7" s="15" t="str">
        <v/>
      </c>
      <c r="I7" s="15" t="str">
        <v/>
      </c>
      <c r="J7" s="15" t="str">
        <v/>
      </c>
      <c r="K7" s="15" t="str">
        <v/>
      </c>
      <c r="L7" s="15" t="str">
        <v/>
      </c>
      <c r="M7" s="15" t="str">
        <v/>
      </c>
      <c r="N7" s="15" t="str">
        <v/>
      </c>
      <c r="O7" s="15" t="str">
        <v/>
      </c>
      <c r="P7" s="15" t="str">
        <v/>
      </c>
      <c r="Q7" s="15" t="str">
        <v/>
      </c>
      <c r="R7" s="15" t="str">
        <v/>
      </c>
      <c r="S7" s="15" t="str">
        <v/>
      </c>
      <c r="T7" s="15" t="str">
        <v/>
      </c>
      <c r="U7" s="15" t="str">
        <v/>
      </c>
      <c r="V7" s="15">
        <v>155.4259719944358</v>
      </c>
      <c r="W7" s="15" t="str">
        <v/>
      </c>
      <c r="X7" s="15" t="str">
        <v/>
      </c>
      <c r="Y7" s="15" t="str">
        <v/>
      </c>
      <c r="Z7" s="15" t="str">
        <v/>
      </c>
      <c r="AA7" s="15" t="str">
        <v/>
      </c>
      <c r="AB7" s="15" t="str">
        <v/>
      </c>
      <c r="AC7" s="15" t="str">
        <v/>
      </c>
      <c r="AD7" s="15" t="str">
        <v/>
      </c>
      <c r="AE7" s="15" t="str">
        <v/>
      </c>
      <c r="AF7" s="15">
        <v>130.00727560864985</v>
      </c>
      <c r="AG7" s="15" t="str">
        <v/>
      </c>
      <c r="AH7" s="15" t="str">
        <v/>
      </c>
      <c r="AI7" s="15" t="str">
        <v/>
      </c>
      <c r="AJ7" s="15" t="str">
        <v/>
      </c>
      <c r="AK7" s="15" t="str">
        <v/>
      </c>
      <c r="AL7" s="15" t="str">
        <v/>
      </c>
      <c r="AM7" s="15" t="str">
        <v/>
      </c>
      <c r="AN7" s="15" t="str">
        <v/>
      </c>
      <c r="AO7" s="15" t="str">
        <v/>
      </c>
      <c r="AP7" s="15" t="str">
        <v/>
      </c>
      <c r="AQ7" s="15" t="str">
        <v/>
      </c>
      <c r="AR7" s="15" t="str">
        <v/>
      </c>
      <c r="AS7" s="15" t="str">
        <v/>
      </c>
      <c r="AT7" s="15" t="str">
        <v/>
      </c>
      <c r="AU7" s="15" t="str">
        <v/>
      </c>
      <c r="AV7" s="15" t="str">
        <v/>
      </c>
      <c r="AW7" s="15" t="str">
        <v/>
      </c>
      <c r="AX7" s="15">
        <v>101.05967405678973</v>
      </c>
      <c r="AY7" s="15" t="str">
        <v/>
      </c>
      <c r="AZ7" s="15" t="str">
        <v/>
      </c>
      <c r="BA7" s="15" t="str">
        <v/>
      </c>
      <c r="BB7" s="15" t="str">
        <v/>
      </c>
      <c r="BC7" s="15" t="str">
        <v/>
      </c>
      <c r="BD7" s="15" t="str">
        <v/>
      </c>
      <c r="BE7" s="15" t="str">
        <v/>
      </c>
      <c r="BF7" s="15">
        <v>92.9</v>
      </c>
      <c r="BG7" s="15" t="str">
        <v/>
      </c>
      <c r="BH7" s="15" t="str">
        <v/>
      </c>
      <c r="BI7" s="15" t="str">
        <v/>
      </c>
      <c r="BJ7" s="15" t="str">
        <v/>
      </c>
      <c r="BK7" s="15" t="str">
        <v/>
      </c>
      <c r="BL7" s="15">
        <v>88.1</v>
      </c>
      <c r="BM7" s="15" t="str">
        <v/>
      </c>
      <c r="BN7" s="15" t="str">
        <v/>
      </c>
      <c r="BO7" s="15" t="str">
        <v/>
      </c>
      <c r="BP7" s="15" t="str">
        <v/>
      </c>
      <c r="BQ7" s="15" t="str">
        <v/>
      </c>
      <c r="BR7" s="15">
        <v>75.7</v>
      </c>
      <c r="BS7" s="15" t="str">
        <v/>
      </c>
      <c r="BT7" s="15" t="str">
        <v/>
      </c>
      <c r="BU7" s="15" t="str">
        <v/>
      </c>
      <c r="BV7" s="15" t="str">
        <v/>
      </c>
      <c r="BW7" s="15" t="str">
        <v/>
      </c>
      <c r="BX7" s="15">
        <v>58.4</v>
      </c>
      <c r="BY7" s="15" t="str">
        <v/>
      </c>
      <c r="BZ7" s="15" t="str">
        <v/>
      </c>
      <c r="CA7" s="15" t="str">
        <v/>
      </c>
      <c r="CB7" s="15" t="str">
        <v/>
      </c>
      <c r="CC7" s="15" t="str">
        <v/>
      </c>
      <c r="CD7" s="15" t="str">
        <v/>
      </c>
      <c r="CE7" s="15" t="str">
        <v/>
      </c>
      <c r="CF7" s="15" t="str">
        <v/>
      </c>
      <c r="CG7" s="15" t="str">
        <v/>
      </c>
      <c r="CH7" s="15">
        <v>67</v>
      </c>
      <c r="CI7" s="15" t="str">
        <v/>
      </c>
      <c r="CJ7" s="15" t="str">
        <v/>
      </c>
      <c r="CK7" s="15" t="str">
        <v/>
      </c>
      <c r="CL7" s="15" t="str">
        <v/>
      </c>
      <c r="CM7" s="15" t="str">
        <v/>
      </c>
      <c r="CN7" s="15" t="str">
        <v/>
      </c>
      <c r="CO7" s="15" t="str">
        <v/>
      </c>
      <c r="CP7" s="15" t="str">
        <v/>
      </c>
      <c r="CQ7" s="15" t="str">
        <v/>
      </c>
      <c r="CR7" s="15">
        <v>132.6</v>
      </c>
      <c r="CS7" s="15" t="str">
        <v/>
      </c>
      <c r="CT7" s="15" t="str">
        <v/>
      </c>
      <c r="CU7" s="15" t="str">
        <v/>
      </c>
      <c r="CV7" s="15" t="str">
        <v/>
      </c>
      <c r="CW7" s="15" t="str">
        <v/>
      </c>
      <c r="CX7" s="15" t="str">
        <v/>
      </c>
      <c r="CY7" s="15" t="str">
        <v/>
      </c>
      <c r="CZ7" s="15">
        <v>184.8</v>
      </c>
      <c r="DA7" s="15" t="str">
        <v/>
      </c>
      <c r="DB7" s="15" t="str">
        <v/>
      </c>
      <c r="DC7" s="15">
        <v>182.3</v>
      </c>
      <c r="DH7" s="15">
        <v>152.19999999999999</v>
      </c>
    </row>
    <row r="8" spans="1:112" x14ac:dyDescent="0.2">
      <c r="B8" s="15" t="s">
        <v>101</v>
      </c>
      <c r="C8" s="15" t="s">
        <v>101</v>
      </c>
      <c r="D8" s="15" t="s">
        <v>101</v>
      </c>
      <c r="E8" s="15" t="s">
        <v>101</v>
      </c>
      <c r="F8" s="15" t="s">
        <v>101</v>
      </c>
      <c r="G8" s="15" t="s">
        <v>101</v>
      </c>
      <c r="H8" s="15" t="s">
        <v>101</v>
      </c>
      <c r="I8" s="15" t="s">
        <v>101</v>
      </c>
      <c r="J8" s="15" t="s">
        <v>101</v>
      </c>
      <c r="K8" s="15" t="s">
        <v>101</v>
      </c>
      <c r="L8" s="15" t="s">
        <v>101</v>
      </c>
      <c r="M8" s="15" t="s">
        <v>101</v>
      </c>
      <c r="N8" s="15" t="s">
        <v>101</v>
      </c>
      <c r="O8" s="15" t="s">
        <v>101</v>
      </c>
      <c r="P8" s="15" t="s">
        <v>101</v>
      </c>
      <c r="Q8" s="15" t="s">
        <v>101</v>
      </c>
      <c r="R8" s="15" t="s">
        <v>101</v>
      </c>
      <c r="S8" s="15" t="s">
        <v>101</v>
      </c>
      <c r="T8" s="15" t="s">
        <v>101</v>
      </c>
      <c r="U8" s="15" t="s">
        <v>101</v>
      </c>
      <c r="V8" s="15" t="s">
        <v>101</v>
      </c>
      <c r="W8" s="15" t="s">
        <v>101</v>
      </c>
      <c r="X8" s="15" t="s">
        <v>101</v>
      </c>
      <c r="Y8" s="15" t="s">
        <v>101</v>
      </c>
      <c r="Z8" s="15" t="s">
        <v>101</v>
      </c>
      <c r="AA8" s="15" t="s">
        <v>101</v>
      </c>
      <c r="AB8" s="15" t="s">
        <v>101</v>
      </c>
      <c r="AC8" s="15" t="s">
        <v>101</v>
      </c>
      <c r="AD8" s="15" t="s">
        <v>101</v>
      </c>
      <c r="AE8" s="15" t="s">
        <v>101</v>
      </c>
      <c r="AF8" s="15" t="s">
        <v>101</v>
      </c>
      <c r="AG8" s="15" t="s">
        <v>101</v>
      </c>
      <c r="AH8" s="15" t="s">
        <v>101</v>
      </c>
      <c r="AI8" s="15" t="s">
        <v>101</v>
      </c>
      <c r="AJ8" s="15" t="s">
        <v>101</v>
      </c>
      <c r="AK8" s="15" t="s">
        <v>101</v>
      </c>
      <c r="AL8" s="15" t="s">
        <v>101</v>
      </c>
      <c r="AM8" s="15" t="s">
        <v>101</v>
      </c>
      <c r="AN8" s="15" t="s">
        <v>101</v>
      </c>
      <c r="AO8" s="15" t="s">
        <v>101</v>
      </c>
      <c r="AP8" s="15" t="s">
        <v>101</v>
      </c>
      <c r="AQ8" s="15" t="s">
        <v>101</v>
      </c>
      <c r="AR8" s="15" t="s">
        <v>101</v>
      </c>
      <c r="AS8" s="15" t="s">
        <v>101</v>
      </c>
      <c r="AT8" s="15" t="s">
        <v>101</v>
      </c>
      <c r="AU8" s="15" t="s">
        <v>101</v>
      </c>
      <c r="AV8" s="15" t="s">
        <v>101</v>
      </c>
      <c r="AW8" s="15" t="s">
        <v>101</v>
      </c>
      <c r="AX8" s="15" t="s">
        <v>101</v>
      </c>
      <c r="AY8" s="15" t="s">
        <v>101</v>
      </c>
      <c r="AZ8" s="15" t="s">
        <v>101</v>
      </c>
      <c r="BA8" s="15" t="s">
        <v>101</v>
      </c>
      <c r="BB8" s="15" t="s">
        <v>101</v>
      </c>
      <c r="BC8" s="15" t="s">
        <v>101</v>
      </c>
      <c r="BD8" s="15" t="s">
        <v>101</v>
      </c>
      <c r="BE8" s="15" t="s">
        <v>101</v>
      </c>
      <c r="BF8" s="15" t="s">
        <v>101</v>
      </c>
      <c r="BG8" s="15" t="s">
        <v>101</v>
      </c>
      <c r="BH8" s="15" t="s">
        <v>101</v>
      </c>
      <c r="BI8" s="15" t="s">
        <v>101</v>
      </c>
      <c r="BJ8" s="15" t="s">
        <v>101</v>
      </c>
      <c r="BK8" s="15" t="s">
        <v>101</v>
      </c>
      <c r="BL8" s="15" t="s">
        <v>101</v>
      </c>
      <c r="BM8" s="15" t="s">
        <v>101</v>
      </c>
      <c r="BN8" s="15" t="s">
        <v>101</v>
      </c>
      <c r="BO8" s="15" t="s">
        <v>101</v>
      </c>
      <c r="BP8" s="15" t="s">
        <v>101</v>
      </c>
      <c r="BQ8" s="15" t="s">
        <v>101</v>
      </c>
      <c r="BR8" s="15" t="s">
        <v>101</v>
      </c>
      <c r="BS8" s="15" t="s">
        <v>101</v>
      </c>
      <c r="BT8" s="15" t="s">
        <v>101</v>
      </c>
      <c r="BU8" s="15" t="s">
        <v>101</v>
      </c>
      <c r="BV8" s="15" t="s">
        <v>101</v>
      </c>
      <c r="BW8" s="15" t="s">
        <v>101</v>
      </c>
      <c r="BX8" s="15" t="s">
        <v>101</v>
      </c>
      <c r="BY8" s="15" t="s">
        <v>101</v>
      </c>
      <c r="BZ8" s="15" t="s">
        <v>101</v>
      </c>
      <c r="CA8" s="15" t="s">
        <v>101</v>
      </c>
      <c r="CB8" s="15" t="s">
        <v>101</v>
      </c>
      <c r="CC8" s="15" t="s">
        <v>101</v>
      </c>
      <c r="CD8" s="15" t="s">
        <v>101</v>
      </c>
      <c r="CE8" s="15" t="s">
        <v>101</v>
      </c>
      <c r="CF8" s="15" t="s">
        <v>101</v>
      </c>
      <c r="CG8" s="15" t="s">
        <v>101</v>
      </c>
      <c r="CH8" s="15" t="s">
        <v>101</v>
      </c>
      <c r="CI8" s="15" t="s">
        <v>101</v>
      </c>
      <c r="CJ8" s="15" t="s">
        <v>101</v>
      </c>
      <c r="CK8" s="15" t="s">
        <v>101</v>
      </c>
      <c r="CL8" s="15" t="s">
        <v>101</v>
      </c>
      <c r="CM8" s="15" t="s">
        <v>101</v>
      </c>
      <c r="CN8" s="15" t="s">
        <v>101</v>
      </c>
      <c r="CO8" s="15" t="s">
        <v>101</v>
      </c>
      <c r="CP8" s="15" t="s">
        <v>101</v>
      </c>
      <c r="CQ8" s="15" t="s">
        <v>101</v>
      </c>
      <c r="CR8" s="15" t="s">
        <v>101</v>
      </c>
      <c r="CS8" s="15" t="s">
        <v>101</v>
      </c>
      <c r="CT8" s="15" t="s">
        <v>101</v>
      </c>
      <c r="CU8" s="15" t="s">
        <v>101</v>
      </c>
      <c r="CV8" s="15" t="s">
        <v>101</v>
      </c>
      <c r="CW8" s="15" t="s">
        <v>101</v>
      </c>
      <c r="CX8" s="15" t="s">
        <v>101</v>
      </c>
      <c r="CY8" s="15" t="s">
        <v>101</v>
      </c>
      <c r="CZ8" s="15" t="s">
        <v>101</v>
      </c>
      <c r="DA8" s="15" t="s">
        <v>101</v>
      </c>
      <c r="DB8" s="15" t="s">
        <v>101</v>
      </c>
      <c r="DC8" s="15" t="s">
        <v>101</v>
      </c>
    </row>
    <row r="9" spans="1:112" x14ac:dyDescent="0.2">
      <c r="B9" s="15" t="s">
        <v>101</v>
      </c>
      <c r="C9" s="15">
        <v>1</v>
      </c>
      <c r="D9" s="15">
        <v>2</v>
      </c>
      <c r="E9" s="15">
        <v>3</v>
      </c>
      <c r="F9" s="15">
        <v>4</v>
      </c>
      <c r="G9" s="15">
        <v>5</v>
      </c>
      <c r="H9" s="15">
        <v>6</v>
      </c>
      <c r="I9" s="15">
        <v>7</v>
      </c>
      <c r="J9" s="15">
        <v>8</v>
      </c>
      <c r="K9" s="15">
        <v>9</v>
      </c>
      <c r="L9" s="15">
        <v>10</v>
      </c>
      <c r="M9" s="15">
        <v>11</v>
      </c>
      <c r="N9" s="15">
        <v>12</v>
      </c>
      <c r="O9" s="15">
        <v>13</v>
      </c>
      <c r="P9" s="15">
        <v>14</v>
      </c>
      <c r="Q9" s="15">
        <v>15</v>
      </c>
      <c r="R9" s="15">
        <v>16</v>
      </c>
      <c r="S9" s="15">
        <v>17</v>
      </c>
      <c r="T9" s="15">
        <v>18</v>
      </c>
      <c r="U9" s="15">
        <v>19</v>
      </c>
      <c r="V9" s="15">
        <v>20</v>
      </c>
      <c r="W9" s="15">
        <v>1</v>
      </c>
      <c r="X9" s="15">
        <v>2</v>
      </c>
      <c r="Y9" s="15">
        <v>3</v>
      </c>
      <c r="Z9" s="15">
        <v>4</v>
      </c>
      <c r="AA9" s="15">
        <v>5</v>
      </c>
      <c r="AB9" s="15">
        <v>6</v>
      </c>
      <c r="AC9" s="15">
        <v>7</v>
      </c>
      <c r="AD9" s="15">
        <v>8</v>
      </c>
      <c r="AE9" s="15">
        <v>9</v>
      </c>
      <c r="AF9" s="15">
        <v>10</v>
      </c>
      <c r="AG9" s="15">
        <v>1</v>
      </c>
      <c r="AH9" s="15">
        <v>2</v>
      </c>
      <c r="AI9" s="15">
        <v>3</v>
      </c>
      <c r="AJ9" s="15">
        <v>4</v>
      </c>
      <c r="AK9" s="15">
        <v>5</v>
      </c>
      <c r="AL9" s="15">
        <v>6</v>
      </c>
      <c r="AM9" s="15">
        <v>7</v>
      </c>
      <c r="AN9" s="15">
        <v>8</v>
      </c>
      <c r="AO9" s="15">
        <v>9</v>
      </c>
      <c r="AP9" s="15">
        <v>10</v>
      </c>
      <c r="AQ9" s="15">
        <v>11</v>
      </c>
      <c r="AR9" s="15">
        <v>12</v>
      </c>
      <c r="AS9" s="15">
        <v>13</v>
      </c>
      <c r="AT9" s="15">
        <v>14</v>
      </c>
      <c r="AU9" s="15">
        <v>15</v>
      </c>
      <c r="AV9" s="15">
        <v>16</v>
      </c>
      <c r="AW9" s="15">
        <v>17</v>
      </c>
      <c r="AX9" s="15">
        <v>18</v>
      </c>
      <c r="AY9" s="15">
        <v>1</v>
      </c>
      <c r="AZ9" s="15">
        <v>2</v>
      </c>
      <c r="BA9" s="15">
        <v>3</v>
      </c>
      <c r="BB9" s="15">
        <v>4</v>
      </c>
      <c r="BC9" s="15">
        <v>5</v>
      </c>
      <c r="BD9" s="15">
        <v>6</v>
      </c>
      <c r="BE9" s="15">
        <v>7</v>
      </c>
      <c r="BF9" s="15">
        <v>8</v>
      </c>
      <c r="BG9" s="15">
        <v>1</v>
      </c>
      <c r="BH9" s="15">
        <v>2</v>
      </c>
      <c r="BI9" s="15">
        <v>3</v>
      </c>
      <c r="BJ9" s="15">
        <v>4</v>
      </c>
      <c r="BK9" s="15">
        <v>5</v>
      </c>
      <c r="BL9" s="15">
        <v>6</v>
      </c>
      <c r="BM9" s="15">
        <v>1</v>
      </c>
      <c r="BN9" s="15">
        <v>2</v>
      </c>
      <c r="BO9" s="15">
        <v>3</v>
      </c>
      <c r="BP9" s="15">
        <v>4</v>
      </c>
      <c r="BQ9" s="15">
        <v>5</v>
      </c>
      <c r="BR9" s="15">
        <v>6</v>
      </c>
      <c r="BS9" s="15">
        <v>1</v>
      </c>
      <c r="BT9" s="15">
        <v>2</v>
      </c>
      <c r="BU9" s="15">
        <v>3</v>
      </c>
      <c r="BV9" s="15">
        <v>4</v>
      </c>
      <c r="BW9" s="15">
        <v>5</v>
      </c>
      <c r="BX9" s="15">
        <v>6</v>
      </c>
      <c r="BY9" s="15">
        <v>1</v>
      </c>
      <c r="BZ9" s="15">
        <v>2</v>
      </c>
      <c r="CA9" s="15">
        <v>3</v>
      </c>
      <c r="CB9" s="15">
        <v>4</v>
      </c>
      <c r="CC9" s="15">
        <v>5</v>
      </c>
      <c r="CD9" s="15">
        <v>6</v>
      </c>
      <c r="CE9" s="15">
        <v>7</v>
      </c>
      <c r="CF9" s="15">
        <v>8</v>
      </c>
      <c r="CG9" s="15">
        <v>9</v>
      </c>
      <c r="CH9" s="15">
        <v>10</v>
      </c>
      <c r="CI9" s="15">
        <v>1</v>
      </c>
      <c r="CJ9" s="15">
        <v>2</v>
      </c>
      <c r="CK9" s="15">
        <v>3</v>
      </c>
      <c r="CL9" s="15">
        <v>4</v>
      </c>
      <c r="CM9" s="15">
        <v>5</v>
      </c>
      <c r="CN9" s="15">
        <v>6</v>
      </c>
      <c r="CO9" s="15">
        <v>7</v>
      </c>
      <c r="CP9" s="15">
        <v>8</v>
      </c>
      <c r="CQ9" s="15">
        <v>9</v>
      </c>
      <c r="CR9" s="15">
        <v>10</v>
      </c>
      <c r="CS9" s="15">
        <v>1</v>
      </c>
      <c r="CT9" s="15">
        <v>2</v>
      </c>
      <c r="CU9" s="15">
        <v>3</v>
      </c>
      <c r="CV9" s="15">
        <v>4</v>
      </c>
      <c r="CW9" s="15">
        <v>5</v>
      </c>
      <c r="CX9" s="15">
        <v>6</v>
      </c>
      <c r="CY9" s="15">
        <v>7</v>
      </c>
      <c r="CZ9" s="15">
        <v>8</v>
      </c>
      <c r="DA9" s="15">
        <v>1</v>
      </c>
      <c r="DB9" s="15">
        <v>2</v>
      </c>
      <c r="DC9" s="15">
        <v>3</v>
      </c>
      <c r="DD9" s="15">
        <v>1</v>
      </c>
      <c r="DE9" s="15">
        <v>2</v>
      </c>
      <c r="DF9" s="15">
        <v>3</v>
      </c>
      <c r="DG9" s="15">
        <v>4</v>
      </c>
      <c r="DH9" s="15">
        <v>5</v>
      </c>
    </row>
    <row r="10" spans="1:112" x14ac:dyDescent="0.2">
      <c r="A10" t="s">
        <v>96</v>
      </c>
      <c r="B10" s="15">
        <f t="shared" ref="B10:B15" si="0">B2</f>
        <v>336.80635511533728</v>
      </c>
      <c r="C10" s="15">
        <f t="shared" ref="C10:U10" si="1">$B10+($V2-$B2)*C$9/$V$9</f>
        <v>343.86976478093703</v>
      </c>
      <c r="D10" s="15">
        <f t="shared" si="1"/>
        <v>350.93317444653684</v>
      </c>
      <c r="E10" s="15">
        <f t="shared" si="1"/>
        <v>357.99658411213659</v>
      </c>
      <c r="F10" s="15">
        <f t="shared" si="1"/>
        <v>365.05999377773639</v>
      </c>
      <c r="G10" s="15">
        <f t="shared" si="1"/>
        <v>372.12340344333614</v>
      </c>
      <c r="H10" s="15">
        <f t="shared" si="1"/>
        <v>379.18681310893589</v>
      </c>
      <c r="I10" s="15">
        <f t="shared" si="1"/>
        <v>386.2502227745357</v>
      </c>
      <c r="J10" s="15">
        <f t="shared" si="1"/>
        <v>393.31363244013545</v>
      </c>
      <c r="K10" s="15">
        <f t="shared" si="1"/>
        <v>400.37704210573526</v>
      </c>
      <c r="L10" s="15">
        <f t="shared" si="1"/>
        <v>407.44045177133501</v>
      </c>
      <c r="M10" s="15">
        <f t="shared" si="1"/>
        <v>414.50386143693481</v>
      </c>
      <c r="N10" s="15">
        <f t="shared" si="1"/>
        <v>421.56727110253456</v>
      </c>
      <c r="O10" s="15">
        <f t="shared" si="1"/>
        <v>428.63068076813431</v>
      </c>
      <c r="P10" s="15">
        <f t="shared" si="1"/>
        <v>435.69409043373412</v>
      </c>
      <c r="Q10" s="15">
        <f t="shared" si="1"/>
        <v>442.75750009933387</v>
      </c>
      <c r="R10" s="15">
        <f t="shared" si="1"/>
        <v>449.82090976493362</v>
      </c>
      <c r="S10" s="15">
        <f t="shared" si="1"/>
        <v>456.88431943053342</v>
      </c>
      <c r="T10" s="15">
        <f t="shared" si="1"/>
        <v>463.94772909613317</v>
      </c>
      <c r="U10" s="15">
        <f t="shared" si="1"/>
        <v>471.01113876173292</v>
      </c>
      <c r="V10" s="15">
        <f t="shared" ref="V10:V15" si="2">V2</f>
        <v>478.07454842733273</v>
      </c>
      <c r="W10" s="15">
        <f t="shared" ref="W10:AE15" si="3">$V10+($AF10-$V10)*W$9/$AF$9</f>
        <v>482.7771419567884</v>
      </c>
      <c r="X10" s="15">
        <f t="shared" si="3"/>
        <v>487.47973548624407</v>
      </c>
      <c r="Y10" s="15">
        <f t="shared" si="3"/>
        <v>492.18232901569974</v>
      </c>
      <c r="Z10" s="15">
        <f t="shared" si="3"/>
        <v>496.8849225451554</v>
      </c>
      <c r="AA10" s="15">
        <f t="shared" si="3"/>
        <v>501.58751607461107</v>
      </c>
      <c r="AB10" s="15">
        <f t="shared" si="3"/>
        <v>506.29010960406674</v>
      </c>
      <c r="AC10" s="15">
        <f t="shared" si="3"/>
        <v>510.99270313352241</v>
      </c>
      <c r="AD10" s="15">
        <f t="shared" si="3"/>
        <v>515.69529666297808</v>
      </c>
      <c r="AE10" s="15">
        <f t="shared" si="3"/>
        <v>520.39789019243381</v>
      </c>
      <c r="AF10" s="15">
        <f t="shared" ref="AF10:AF15" si="4">AF2</f>
        <v>525.10048372188942</v>
      </c>
      <c r="AG10" s="15">
        <f t="shared" ref="AG10:AP15" si="5">$AF10+($AX10-$AF10)*AG$9/$AX$9</f>
        <v>534.37823462622885</v>
      </c>
      <c r="AH10" s="15">
        <f t="shared" si="5"/>
        <v>543.65598553056839</v>
      </c>
      <c r="AI10" s="15">
        <f t="shared" si="5"/>
        <v>552.93373643490781</v>
      </c>
      <c r="AJ10" s="15">
        <f t="shared" si="5"/>
        <v>562.21148733924736</v>
      </c>
      <c r="AK10" s="15">
        <f t="shared" si="5"/>
        <v>571.48923824358678</v>
      </c>
      <c r="AL10" s="15">
        <f t="shared" si="5"/>
        <v>580.76698914792632</v>
      </c>
      <c r="AM10" s="15">
        <f t="shared" si="5"/>
        <v>590.04474005226575</v>
      </c>
      <c r="AN10" s="15">
        <f t="shared" si="5"/>
        <v>599.32249095660518</v>
      </c>
      <c r="AO10" s="15">
        <f t="shared" si="5"/>
        <v>608.60024186094472</v>
      </c>
      <c r="AP10" s="15">
        <f t="shared" si="5"/>
        <v>617.87799276528426</v>
      </c>
      <c r="AQ10" s="15">
        <f t="shared" ref="AQ10:AW15" si="6">$AF10+($AX10-$AF10)*AQ$9/$AX$9</f>
        <v>627.15574366962369</v>
      </c>
      <c r="AR10" s="15">
        <f t="shared" si="6"/>
        <v>636.43349457396312</v>
      </c>
      <c r="AS10" s="15">
        <f t="shared" si="6"/>
        <v>645.71124547830266</v>
      </c>
      <c r="AT10" s="15">
        <f t="shared" si="6"/>
        <v>654.98899638264209</v>
      </c>
      <c r="AU10" s="15">
        <f t="shared" si="6"/>
        <v>664.26674728698163</v>
      </c>
      <c r="AV10" s="15">
        <f t="shared" si="6"/>
        <v>673.54449819132105</v>
      </c>
      <c r="AW10" s="15">
        <f t="shared" si="6"/>
        <v>682.82224909566048</v>
      </c>
      <c r="AX10" s="15">
        <f t="shared" ref="AX10:AX15" si="7">AX2</f>
        <v>692.1</v>
      </c>
      <c r="AY10" s="15">
        <f t="shared" ref="AY10:BE15" si="8">$AX10+($BF10-$AX10)*AY$9/$BF$9</f>
        <v>705.22500000000002</v>
      </c>
      <c r="AZ10" s="15">
        <f t="shared" si="8"/>
        <v>718.35</v>
      </c>
      <c r="BA10" s="15">
        <f t="shared" si="8"/>
        <v>731.47500000000002</v>
      </c>
      <c r="BB10" s="15">
        <f t="shared" si="8"/>
        <v>744.6</v>
      </c>
      <c r="BC10" s="15">
        <f t="shared" si="8"/>
        <v>757.72500000000002</v>
      </c>
      <c r="BD10" s="15">
        <f t="shared" si="8"/>
        <v>770.85</v>
      </c>
      <c r="BE10" s="15">
        <f t="shared" si="8"/>
        <v>783.97500000000002</v>
      </c>
      <c r="BF10" s="15">
        <f t="shared" ref="BF10:BF15" si="9">BF2</f>
        <v>797.1</v>
      </c>
      <c r="BG10" s="15">
        <f t="shared" ref="BG10:BK15" si="10">$BF10+($BL10-$BF10)*BG$9/$BL$10</f>
        <v>797.31008819740362</v>
      </c>
      <c r="BH10" s="15">
        <f t="shared" si="10"/>
        <v>797.52017639480732</v>
      </c>
      <c r="BI10" s="15">
        <f t="shared" si="10"/>
        <v>797.73026459221091</v>
      </c>
      <c r="BJ10" s="15">
        <f t="shared" si="10"/>
        <v>797.94035278961451</v>
      </c>
      <c r="BK10" s="15">
        <f t="shared" si="10"/>
        <v>798.15044098701821</v>
      </c>
      <c r="BL10" s="15">
        <f t="shared" ref="BL10:BL15" si="11">BL2</f>
        <v>1009.1</v>
      </c>
      <c r="BM10" s="15">
        <f t="shared" ref="BM10:BQ15" si="12">$BL10+($BR10-$BL10)*BM$9/$BR$9</f>
        <v>1053.8499999999999</v>
      </c>
      <c r="BN10" s="15">
        <f t="shared" si="12"/>
        <v>1098.5999999999999</v>
      </c>
      <c r="BO10" s="15">
        <f t="shared" si="12"/>
        <v>1143.3499999999999</v>
      </c>
      <c r="BP10" s="15">
        <f t="shared" si="12"/>
        <v>1188.0999999999999</v>
      </c>
      <c r="BQ10" s="15">
        <f t="shared" si="12"/>
        <v>1232.8499999999999</v>
      </c>
      <c r="BR10" s="15">
        <f t="shared" ref="BR10:BR15" si="13">BR2</f>
        <v>1277.5999999999999</v>
      </c>
      <c r="BS10" s="15">
        <f t="shared" ref="BS10:BW15" si="14">$BR10+($BX10-$BR10)*BS$9/$BX$10</f>
        <v>1277.7887738904055</v>
      </c>
      <c r="BT10" s="15">
        <f t="shared" si="14"/>
        <v>1277.9775477808114</v>
      </c>
      <c r="BU10" s="15">
        <f t="shared" si="14"/>
        <v>1278.166321671217</v>
      </c>
      <c r="BV10" s="15">
        <f t="shared" si="14"/>
        <v>1278.3550955616229</v>
      </c>
      <c r="BW10" s="15">
        <f t="shared" si="14"/>
        <v>1278.5438694520285</v>
      </c>
      <c r="BX10" s="15">
        <f t="shared" ref="BX10:BX15" si="15">BX2</f>
        <v>1574.9</v>
      </c>
      <c r="BY10" s="15">
        <f t="shared" ref="BY10:CG15" si="16">$BX10+($CH10-$BX10)*BY$9/$CH$9</f>
        <v>1641.64</v>
      </c>
      <c r="BZ10" s="15">
        <f t="shared" si="16"/>
        <v>1708.38</v>
      </c>
      <c r="CA10" s="15">
        <f t="shared" si="16"/>
        <v>1775.1200000000001</v>
      </c>
      <c r="CB10" s="15">
        <f t="shared" si="16"/>
        <v>1841.8600000000001</v>
      </c>
      <c r="CC10" s="15">
        <f t="shared" si="16"/>
        <v>1908.6000000000001</v>
      </c>
      <c r="CD10" s="15">
        <f t="shared" si="16"/>
        <v>1975.3400000000001</v>
      </c>
      <c r="CE10" s="15">
        <f t="shared" si="16"/>
        <v>2042.0800000000002</v>
      </c>
      <c r="CF10" s="15">
        <f t="shared" si="16"/>
        <v>2108.8200000000002</v>
      </c>
      <c r="CG10" s="15">
        <f t="shared" si="16"/>
        <v>2175.5600000000004</v>
      </c>
      <c r="CH10" s="15">
        <f t="shared" ref="CH10:CH15" si="17">CH2</f>
        <v>2242.3000000000002</v>
      </c>
      <c r="CI10" s="15">
        <f t="shared" ref="CI10:CQ15" si="18">$CH10+($CR10-$CH10)*CI$9/$CR$9</f>
        <v>2333.94</v>
      </c>
      <c r="CJ10" s="15">
        <f t="shared" si="18"/>
        <v>2425.58</v>
      </c>
      <c r="CK10" s="15">
        <f t="shared" si="18"/>
        <v>2517.2200000000003</v>
      </c>
      <c r="CL10" s="15">
        <f t="shared" si="18"/>
        <v>2608.86</v>
      </c>
      <c r="CM10" s="15">
        <f t="shared" si="18"/>
        <v>2700.5</v>
      </c>
      <c r="CN10" s="15">
        <f t="shared" si="18"/>
        <v>2792.14</v>
      </c>
      <c r="CO10" s="15">
        <f t="shared" si="18"/>
        <v>2883.7799999999997</v>
      </c>
      <c r="CP10" s="15">
        <f t="shared" si="18"/>
        <v>2975.42</v>
      </c>
      <c r="CQ10" s="15">
        <f t="shared" si="18"/>
        <v>3067.06</v>
      </c>
      <c r="CR10" s="15">
        <f t="shared" ref="CR10:CR15" si="19">CR2</f>
        <v>3158.7</v>
      </c>
      <c r="CS10" s="15">
        <f t="shared" ref="CS10:CY15" si="20">$CR10+($CZ10-$CR10)*CS$9/$CZ$9</f>
        <v>3221.2999999999997</v>
      </c>
      <c r="CT10" s="15">
        <f t="shared" si="20"/>
        <v>3283.8999999999996</v>
      </c>
      <c r="CU10" s="15">
        <f t="shared" si="20"/>
        <v>3346.5</v>
      </c>
      <c r="CV10" s="15">
        <f t="shared" si="20"/>
        <v>3409.1</v>
      </c>
      <c r="CW10" s="15">
        <f t="shared" si="20"/>
        <v>3471.7</v>
      </c>
      <c r="CX10" s="15">
        <f t="shared" si="20"/>
        <v>3534.3</v>
      </c>
      <c r="CY10" s="15">
        <f t="shared" si="20"/>
        <v>3596.9</v>
      </c>
      <c r="CZ10" s="15">
        <f t="shared" ref="CZ10:CZ15" si="21">CZ2</f>
        <v>3659.5</v>
      </c>
      <c r="DA10" s="15">
        <f t="shared" ref="DA10:DB15" si="22">$CZ10+($DC10-$CZ10)*DA$9/$DC$9</f>
        <v>3680.8666666666668</v>
      </c>
      <c r="DB10" s="15">
        <f t="shared" si="22"/>
        <v>3702.2333333333331</v>
      </c>
      <c r="DC10" s="15">
        <f t="shared" ref="DC10:DC15" si="23">DC2</f>
        <v>3723.6</v>
      </c>
      <c r="DD10" s="15">
        <f>$DC10+($DH10-$DC10)*DD$9/$DH$9</f>
        <v>3788.2999999999997</v>
      </c>
      <c r="DE10" s="15">
        <f>$DC10+($DH10-$DC10)*DE$9/$DH$9</f>
        <v>3853</v>
      </c>
      <c r="DF10" s="15">
        <f>$DC10+($DH10-$DC10)*DF$9/$DH$9</f>
        <v>3917.7</v>
      </c>
      <c r="DG10" s="15">
        <f>$DC10+($DH10-$DC10)*DG$9/$DH$9</f>
        <v>3982.4</v>
      </c>
      <c r="DH10" s="15">
        <f t="shared" ref="DH10:DH15" si="24">DH2</f>
        <v>4047.1</v>
      </c>
    </row>
    <row r="11" spans="1:112" x14ac:dyDescent="0.2">
      <c r="A11" t="s">
        <v>99</v>
      </c>
      <c r="B11" s="15">
        <f t="shared" si="0"/>
        <v>467.10869133003462</v>
      </c>
      <c r="C11" s="15">
        <f t="shared" ref="C11:U11" si="25">$B11+($V3-$B3)*C$9/$V$9</f>
        <v>477.66752840006689</v>
      </c>
      <c r="D11" s="15">
        <f t="shared" si="25"/>
        <v>488.2263654700991</v>
      </c>
      <c r="E11" s="15">
        <f t="shared" si="25"/>
        <v>498.78520254013137</v>
      </c>
      <c r="F11" s="15">
        <f t="shared" si="25"/>
        <v>509.34403961016358</v>
      </c>
      <c r="G11" s="15">
        <f t="shared" si="25"/>
        <v>519.90287668019585</v>
      </c>
      <c r="H11" s="15">
        <f t="shared" si="25"/>
        <v>530.46171375022811</v>
      </c>
      <c r="I11" s="15">
        <f t="shared" si="25"/>
        <v>541.02055082026038</v>
      </c>
      <c r="J11" s="15">
        <f t="shared" si="25"/>
        <v>551.57938789029254</v>
      </c>
      <c r="K11" s="15">
        <f t="shared" si="25"/>
        <v>562.13822496032481</v>
      </c>
      <c r="L11" s="15">
        <f t="shared" si="25"/>
        <v>572.69706203035707</v>
      </c>
      <c r="M11" s="15">
        <f t="shared" si="25"/>
        <v>583.25589910038934</v>
      </c>
      <c r="N11" s="15">
        <f t="shared" si="25"/>
        <v>593.81473617042161</v>
      </c>
      <c r="O11" s="15">
        <f t="shared" si="25"/>
        <v>604.37357324045388</v>
      </c>
      <c r="P11" s="15">
        <f t="shared" si="25"/>
        <v>614.93241031048603</v>
      </c>
      <c r="Q11" s="15">
        <f t="shared" si="25"/>
        <v>625.4912473805183</v>
      </c>
      <c r="R11" s="15">
        <f t="shared" si="25"/>
        <v>636.05008445055057</v>
      </c>
      <c r="S11" s="15">
        <f t="shared" si="25"/>
        <v>646.60892152058273</v>
      </c>
      <c r="T11" s="15">
        <f t="shared" si="25"/>
        <v>657.16775859061499</v>
      </c>
      <c r="U11" s="15">
        <f t="shared" si="25"/>
        <v>667.72659566064726</v>
      </c>
      <c r="V11" s="15">
        <f t="shared" si="2"/>
        <v>678.28543273067953</v>
      </c>
      <c r="W11" s="15">
        <f t="shared" si="3"/>
        <v>696.42819502453392</v>
      </c>
      <c r="X11" s="15">
        <f t="shared" si="3"/>
        <v>714.57095731838831</v>
      </c>
      <c r="Y11" s="15">
        <f t="shared" si="3"/>
        <v>732.7137196122427</v>
      </c>
      <c r="Z11" s="15">
        <f t="shared" si="3"/>
        <v>750.85648190609709</v>
      </c>
      <c r="AA11" s="15">
        <f t="shared" si="3"/>
        <v>768.99924419995148</v>
      </c>
      <c r="AB11" s="15">
        <f t="shared" si="3"/>
        <v>787.14200649380587</v>
      </c>
      <c r="AC11" s="15">
        <f t="shared" si="3"/>
        <v>805.28476878766025</v>
      </c>
      <c r="AD11" s="15">
        <f t="shared" si="3"/>
        <v>823.42753108151464</v>
      </c>
      <c r="AE11" s="15">
        <f t="shared" si="3"/>
        <v>841.57029337536903</v>
      </c>
      <c r="AF11" s="15">
        <f t="shared" si="4"/>
        <v>859.71305566922342</v>
      </c>
      <c r="AG11" s="15">
        <f t="shared" si="5"/>
        <v>879.78181356183916</v>
      </c>
      <c r="AH11" s="15">
        <f t="shared" si="5"/>
        <v>899.85057145445501</v>
      </c>
      <c r="AI11" s="15">
        <f t="shared" si="5"/>
        <v>919.91932934707074</v>
      </c>
      <c r="AJ11" s="15">
        <f t="shared" si="5"/>
        <v>939.98808723968648</v>
      </c>
      <c r="AK11" s="15">
        <f t="shared" si="5"/>
        <v>960.05684513230233</v>
      </c>
      <c r="AL11" s="15">
        <f t="shared" si="5"/>
        <v>980.12560302491806</v>
      </c>
      <c r="AM11" s="15">
        <f t="shared" si="5"/>
        <v>1000.1943609175338</v>
      </c>
      <c r="AN11" s="15">
        <f t="shared" si="5"/>
        <v>1020.2631188101496</v>
      </c>
      <c r="AO11" s="15">
        <f t="shared" si="5"/>
        <v>1040.3318767027654</v>
      </c>
      <c r="AP11" s="15">
        <f t="shared" si="5"/>
        <v>1060.4006345953812</v>
      </c>
      <c r="AQ11" s="15">
        <f t="shared" si="6"/>
        <v>1080.4693924879969</v>
      </c>
      <c r="AR11" s="15">
        <f t="shared" si="6"/>
        <v>1100.5381503806127</v>
      </c>
      <c r="AS11" s="15">
        <f t="shared" si="6"/>
        <v>1120.6069082732286</v>
      </c>
      <c r="AT11" s="15">
        <f t="shared" si="6"/>
        <v>1140.6756661658442</v>
      </c>
      <c r="AU11" s="15">
        <f t="shared" si="6"/>
        <v>1160.74442405846</v>
      </c>
      <c r="AV11" s="15">
        <f t="shared" si="6"/>
        <v>1180.8131819510759</v>
      </c>
      <c r="AW11" s="15">
        <f t="shared" si="6"/>
        <v>1200.8819398436917</v>
      </c>
      <c r="AX11" s="15">
        <f t="shared" si="7"/>
        <v>1220.9506977363073</v>
      </c>
      <c r="AY11" s="15">
        <f t="shared" si="8"/>
        <v>1244.3068605192689</v>
      </c>
      <c r="AZ11" s="15">
        <f t="shared" si="8"/>
        <v>1267.6630233022306</v>
      </c>
      <c r="BA11" s="15">
        <f t="shared" si="8"/>
        <v>1291.0191860851921</v>
      </c>
      <c r="BB11" s="15">
        <f t="shared" si="8"/>
        <v>1314.3753488681537</v>
      </c>
      <c r="BC11" s="15">
        <f t="shared" si="8"/>
        <v>1337.7315116511154</v>
      </c>
      <c r="BD11" s="15">
        <f t="shared" si="8"/>
        <v>1361.0876744340769</v>
      </c>
      <c r="BE11" s="15">
        <f t="shared" si="8"/>
        <v>1384.4438372170387</v>
      </c>
      <c r="BF11" s="15">
        <f t="shared" si="9"/>
        <v>1407.8000000000002</v>
      </c>
      <c r="BG11" s="15">
        <f t="shared" si="10"/>
        <v>1407.9642057278766</v>
      </c>
      <c r="BH11" s="15">
        <f t="shared" si="10"/>
        <v>1408.1284114557529</v>
      </c>
      <c r="BI11" s="15">
        <f t="shared" si="10"/>
        <v>1408.2926171836291</v>
      </c>
      <c r="BJ11" s="15">
        <f t="shared" si="10"/>
        <v>1408.4568229115055</v>
      </c>
      <c r="BK11" s="15">
        <f t="shared" si="10"/>
        <v>1408.6210286393818</v>
      </c>
      <c r="BL11" s="15">
        <f t="shared" si="11"/>
        <v>1573.5</v>
      </c>
      <c r="BM11" s="15">
        <f t="shared" si="12"/>
        <v>1610.1666666666667</v>
      </c>
      <c r="BN11" s="15">
        <f t="shared" si="12"/>
        <v>1646.8333333333333</v>
      </c>
      <c r="BO11" s="15">
        <f t="shared" si="12"/>
        <v>1683.5</v>
      </c>
      <c r="BP11" s="15">
        <f t="shared" si="12"/>
        <v>1720.1666666666667</v>
      </c>
      <c r="BQ11" s="15">
        <f t="shared" si="12"/>
        <v>1756.8333333333333</v>
      </c>
      <c r="BR11" s="15">
        <f t="shared" si="13"/>
        <v>1793.5</v>
      </c>
      <c r="BS11" s="15">
        <f t="shared" si="14"/>
        <v>1793.6540415264462</v>
      </c>
      <c r="BT11" s="15">
        <f t="shared" si="14"/>
        <v>1793.8080830528922</v>
      </c>
      <c r="BU11" s="15">
        <f t="shared" si="14"/>
        <v>1793.9621245793385</v>
      </c>
      <c r="BV11" s="15">
        <f t="shared" si="14"/>
        <v>1794.1161661057845</v>
      </c>
      <c r="BW11" s="15">
        <f t="shared" si="14"/>
        <v>1794.2702076322307</v>
      </c>
      <c r="BX11" s="15">
        <f t="shared" si="15"/>
        <v>2036.1</v>
      </c>
      <c r="BY11" s="15">
        <f t="shared" si="16"/>
        <v>2085.6</v>
      </c>
      <c r="BZ11" s="15">
        <f t="shared" si="16"/>
        <v>2135.1</v>
      </c>
      <c r="CA11" s="15">
        <f t="shared" si="16"/>
        <v>2184.6</v>
      </c>
      <c r="CB11" s="15">
        <f t="shared" si="16"/>
        <v>2234.1</v>
      </c>
      <c r="CC11" s="15">
        <f t="shared" si="16"/>
        <v>2283.6</v>
      </c>
      <c r="CD11" s="15">
        <f t="shared" si="16"/>
        <v>2333.1</v>
      </c>
      <c r="CE11" s="15">
        <f t="shared" si="16"/>
        <v>2382.6</v>
      </c>
      <c r="CF11" s="15">
        <f t="shared" si="16"/>
        <v>2432.1</v>
      </c>
      <c r="CG11" s="15">
        <f t="shared" si="16"/>
        <v>2481.6</v>
      </c>
      <c r="CH11" s="15">
        <f t="shared" si="17"/>
        <v>2531.1</v>
      </c>
      <c r="CI11" s="15">
        <f t="shared" si="18"/>
        <v>2596.33</v>
      </c>
      <c r="CJ11" s="15">
        <f t="shared" si="18"/>
        <v>2661.56</v>
      </c>
      <c r="CK11" s="15">
        <f t="shared" si="18"/>
        <v>2726.79</v>
      </c>
      <c r="CL11" s="15">
        <f t="shared" si="18"/>
        <v>2792.02</v>
      </c>
      <c r="CM11" s="15">
        <f t="shared" si="18"/>
        <v>2857.25</v>
      </c>
      <c r="CN11" s="15">
        <f t="shared" si="18"/>
        <v>2922.48</v>
      </c>
      <c r="CO11" s="15">
        <f t="shared" si="18"/>
        <v>2987.71</v>
      </c>
      <c r="CP11" s="15">
        <f t="shared" si="18"/>
        <v>3052.94</v>
      </c>
      <c r="CQ11" s="15">
        <f t="shared" si="18"/>
        <v>3118.17</v>
      </c>
      <c r="CR11" s="15">
        <f t="shared" si="19"/>
        <v>3183.4</v>
      </c>
      <c r="CS11" s="15">
        <f t="shared" si="20"/>
        <v>3246.5750000000003</v>
      </c>
      <c r="CT11" s="15">
        <f t="shared" si="20"/>
        <v>3309.75</v>
      </c>
      <c r="CU11" s="15">
        <f t="shared" si="20"/>
        <v>3372.9250000000002</v>
      </c>
      <c r="CV11" s="15">
        <f t="shared" si="20"/>
        <v>3436.1000000000004</v>
      </c>
      <c r="CW11" s="15">
        <f t="shared" si="20"/>
        <v>3499.2750000000001</v>
      </c>
      <c r="CX11" s="15">
        <f t="shared" si="20"/>
        <v>3562.4500000000003</v>
      </c>
      <c r="CY11" s="15">
        <f t="shared" si="20"/>
        <v>3625.625</v>
      </c>
      <c r="CZ11" s="15">
        <f t="shared" si="21"/>
        <v>3688.8</v>
      </c>
      <c r="DA11" s="15">
        <f t="shared" si="22"/>
        <v>3758.3666666666668</v>
      </c>
      <c r="DB11" s="15">
        <f t="shared" si="22"/>
        <v>3827.9333333333334</v>
      </c>
      <c r="DC11" s="15">
        <f t="shared" si="23"/>
        <v>3897.5</v>
      </c>
      <c r="DD11" s="15">
        <f t="shared" ref="DD11:DG15" si="26">$DC11+($DH11-$DC11)*DD$9/$DH$9</f>
        <v>3935.88</v>
      </c>
      <c r="DE11" s="15">
        <f t="shared" si="26"/>
        <v>3974.26</v>
      </c>
      <c r="DF11" s="15">
        <f t="shared" si="26"/>
        <v>4012.64</v>
      </c>
      <c r="DG11" s="15">
        <f t="shared" si="26"/>
        <v>4051.02</v>
      </c>
      <c r="DH11" s="15">
        <f t="shared" si="24"/>
        <v>4089.4</v>
      </c>
    </row>
    <row r="12" spans="1:112" x14ac:dyDescent="0.2">
      <c r="A12" t="s">
        <v>98</v>
      </c>
      <c r="B12" s="15">
        <f t="shared" si="0"/>
        <v>1203.9146586345382</v>
      </c>
      <c r="C12" s="15">
        <f t="shared" ref="C12:U12" si="27">$B12+($V4-$B4)*C$9/$V$9</f>
        <v>1220.9401681726908</v>
      </c>
      <c r="D12" s="15">
        <f t="shared" si="27"/>
        <v>1237.9656777108435</v>
      </c>
      <c r="E12" s="15">
        <f t="shared" si="27"/>
        <v>1254.9911872489961</v>
      </c>
      <c r="F12" s="15">
        <f t="shared" si="27"/>
        <v>1272.0166967871487</v>
      </c>
      <c r="G12" s="15">
        <f t="shared" si="27"/>
        <v>1289.0422063253013</v>
      </c>
      <c r="H12" s="15">
        <f t="shared" si="27"/>
        <v>1306.0677158634539</v>
      </c>
      <c r="I12" s="15">
        <f t="shared" si="27"/>
        <v>1323.0932254016066</v>
      </c>
      <c r="J12" s="15">
        <f t="shared" si="27"/>
        <v>1340.1187349397592</v>
      </c>
      <c r="K12" s="15">
        <f t="shared" si="27"/>
        <v>1357.1442444779118</v>
      </c>
      <c r="L12" s="15">
        <f t="shared" si="27"/>
        <v>1374.1697540160644</v>
      </c>
      <c r="M12" s="15">
        <f t="shared" si="27"/>
        <v>1391.1952635542168</v>
      </c>
      <c r="N12" s="15">
        <f t="shared" si="27"/>
        <v>1408.2207730923694</v>
      </c>
      <c r="O12" s="15">
        <f t="shared" si="27"/>
        <v>1425.246282630522</v>
      </c>
      <c r="P12" s="15">
        <f t="shared" si="27"/>
        <v>1442.2717921686747</v>
      </c>
      <c r="Q12" s="15">
        <f t="shared" si="27"/>
        <v>1459.2973017068273</v>
      </c>
      <c r="R12" s="15">
        <f t="shared" si="27"/>
        <v>1476.3228112449799</v>
      </c>
      <c r="S12" s="15">
        <f t="shared" si="27"/>
        <v>1493.3483207831325</v>
      </c>
      <c r="T12" s="15">
        <f t="shared" si="27"/>
        <v>1510.3738303212851</v>
      </c>
      <c r="U12" s="15">
        <f t="shared" si="27"/>
        <v>1527.3993398594378</v>
      </c>
      <c r="V12" s="15">
        <f t="shared" si="2"/>
        <v>1544.4248493975904</v>
      </c>
      <c r="W12" s="15">
        <f t="shared" si="3"/>
        <v>1559.1593273092369</v>
      </c>
      <c r="X12" s="15">
        <f t="shared" si="3"/>
        <v>1573.8938052208835</v>
      </c>
      <c r="Y12" s="15">
        <f t="shared" si="3"/>
        <v>1588.6282831325302</v>
      </c>
      <c r="Z12" s="15">
        <f t="shared" si="3"/>
        <v>1603.3627610441768</v>
      </c>
      <c r="AA12" s="15">
        <f t="shared" si="3"/>
        <v>1618.0972389558233</v>
      </c>
      <c r="AB12" s="15">
        <f t="shared" si="3"/>
        <v>1632.8317168674698</v>
      </c>
      <c r="AC12" s="15">
        <f t="shared" si="3"/>
        <v>1647.5661947791164</v>
      </c>
      <c r="AD12" s="15">
        <f t="shared" si="3"/>
        <v>1662.3006726907631</v>
      </c>
      <c r="AE12" s="15">
        <f t="shared" si="3"/>
        <v>1677.0351506024097</v>
      </c>
      <c r="AF12" s="15">
        <f t="shared" si="4"/>
        <v>1691.7696285140562</v>
      </c>
      <c r="AG12" s="15">
        <f t="shared" si="5"/>
        <v>1697.2102047077196</v>
      </c>
      <c r="AH12" s="15">
        <f t="shared" si="5"/>
        <v>1702.6507809013833</v>
      </c>
      <c r="AI12" s="15">
        <f t="shared" si="5"/>
        <v>1708.0913570950468</v>
      </c>
      <c r="AJ12" s="15">
        <f t="shared" si="5"/>
        <v>1713.5319332887104</v>
      </c>
      <c r="AK12" s="15">
        <f t="shared" si="5"/>
        <v>1718.9725094823739</v>
      </c>
      <c r="AL12" s="15">
        <f t="shared" si="5"/>
        <v>1724.4130856760376</v>
      </c>
      <c r="AM12" s="15">
        <f t="shared" si="5"/>
        <v>1729.853661869701</v>
      </c>
      <c r="AN12" s="15">
        <f t="shared" si="5"/>
        <v>1735.2942380633647</v>
      </c>
      <c r="AO12" s="15">
        <f t="shared" si="5"/>
        <v>1740.7348142570281</v>
      </c>
      <c r="AP12" s="15">
        <f t="shared" si="5"/>
        <v>1746.1753904506916</v>
      </c>
      <c r="AQ12" s="15">
        <f t="shared" si="6"/>
        <v>1751.6159666443552</v>
      </c>
      <c r="AR12" s="15">
        <f t="shared" si="6"/>
        <v>1757.0565428380187</v>
      </c>
      <c r="AS12" s="15">
        <f t="shared" si="6"/>
        <v>1762.4971190316824</v>
      </c>
      <c r="AT12" s="15">
        <f t="shared" si="6"/>
        <v>1767.9376952253458</v>
      </c>
      <c r="AU12" s="15">
        <f t="shared" si="6"/>
        <v>1773.3782714190095</v>
      </c>
      <c r="AV12" s="15">
        <f t="shared" si="6"/>
        <v>1778.8188476126729</v>
      </c>
      <c r="AW12" s="15">
        <f t="shared" si="6"/>
        <v>1784.2594238063366</v>
      </c>
      <c r="AX12" s="15">
        <f t="shared" si="7"/>
        <v>1789.7</v>
      </c>
      <c r="AY12" s="15">
        <f t="shared" si="8"/>
        <v>1829.8</v>
      </c>
      <c r="AZ12" s="15">
        <f t="shared" si="8"/>
        <v>1869.9</v>
      </c>
      <c r="BA12" s="15">
        <f t="shared" si="8"/>
        <v>1910</v>
      </c>
      <c r="BB12" s="15">
        <f t="shared" si="8"/>
        <v>1950.1</v>
      </c>
      <c r="BC12" s="15">
        <f t="shared" si="8"/>
        <v>1990.2</v>
      </c>
      <c r="BD12" s="15">
        <f t="shared" si="8"/>
        <v>2030.3</v>
      </c>
      <c r="BE12" s="15">
        <f t="shared" si="8"/>
        <v>2070.4</v>
      </c>
      <c r="BF12" s="15">
        <f t="shared" si="9"/>
        <v>2110.5</v>
      </c>
      <c r="BG12" s="15">
        <f t="shared" si="10"/>
        <v>2110.8118620552968</v>
      </c>
      <c r="BH12" s="15">
        <f t="shared" si="10"/>
        <v>2111.1237241105937</v>
      </c>
      <c r="BI12" s="15">
        <f t="shared" si="10"/>
        <v>2111.4355861658905</v>
      </c>
      <c r="BJ12" s="15">
        <f t="shared" si="10"/>
        <v>2111.7474482211874</v>
      </c>
      <c r="BK12" s="15">
        <f t="shared" si="10"/>
        <v>2112.0593102764842</v>
      </c>
      <c r="BL12" s="15">
        <f t="shared" si="11"/>
        <v>2425.1999999999998</v>
      </c>
      <c r="BM12" s="15">
        <f t="shared" si="12"/>
        <v>2467.2166666666667</v>
      </c>
      <c r="BN12" s="15">
        <f t="shared" si="12"/>
        <v>2509.2333333333331</v>
      </c>
      <c r="BO12" s="15">
        <f t="shared" si="12"/>
        <v>2551.25</v>
      </c>
      <c r="BP12" s="15">
        <f t="shared" si="12"/>
        <v>2593.2666666666669</v>
      </c>
      <c r="BQ12" s="15">
        <f t="shared" si="12"/>
        <v>2635.2833333333333</v>
      </c>
      <c r="BR12" s="15">
        <f t="shared" si="13"/>
        <v>2677.3</v>
      </c>
      <c r="BS12" s="15">
        <f t="shared" si="14"/>
        <v>2677.3975300019051</v>
      </c>
      <c r="BT12" s="15">
        <f t="shared" si="14"/>
        <v>2677.4950600038101</v>
      </c>
      <c r="BU12" s="15">
        <f t="shared" si="14"/>
        <v>2677.592590005715</v>
      </c>
      <c r="BV12" s="15">
        <f t="shared" si="14"/>
        <v>2677.6901200076195</v>
      </c>
      <c r="BW12" s="15">
        <f t="shared" si="14"/>
        <v>2677.7876500095244</v>
      </c>
      <c r="BX12" s="15">
        <f t="shared" si="15"/>
        <v>2830.9</v>
      </c>
      <c r="BY12" s="15">
        <f t="shared" si="16"/>
        <v>2847.91</v>
      </c>
      <c r="BZ12" s="15">
        <f t="shared" si="16"/>
        <v>2864.92</v>
      </c>
      <c r="CA12" s="15">
        <f t="shared" si="16"/>
        <v>2881.9300000000003</v>
      </c>
      <c r="CB12" s="15">
        <f t="shared" si="16"/>
        <v>2898.94</v>
      </c>
      <c r="CC12" s="15">
        <f t="shared" si="16"/>
        <v>2915.95</v>
      </c>
      <c r="CD12" s="15">
        <f t="shared" si="16"/>
        <v>2932.96</v>
      </c>
      <c r="CE12" s="15">
        <f t="shared" si="16"/>
        <v>2949.9700000000003</v>
      </c>
      <c r="CF12" s="15">
        <f t="shared" si="16"/>
        <v>2966.98</v>
      </c>
      <c r="CG12" s="15">
        <f t="shared" si="16"/>
        <v>2983.99</v>
      </c>
      <c r="CH12" s="15">
        <f t="shared" si="17"/>
        <v>3001</v>
      </c>
      <c r="CI12" s="15">
        <f t="shared" si="18"/>
        <v>3019.17</v>
      </c>
      <c r="CJ12" s="15">
        <f t="shared" si="18"/>
        <v>3037.34</v>
      </c>
      <c r="CK12" s="15">
        <f t="shared" si="18"/>
        <v>3055.5099999999998</v>
      </c>
      <c r="CL12" s="15">
        <f t="shared" si="18"/>
        <v>3073.68</v>
      </c>
      <c r="CM12" s="15">
        <f t="shared" si="18"/>
        <v>3091.85</v>
      </c>
      <c r="CN12" s="15">
        <f t="shared" si="18"/>
        <v>3110.02</v>
      </c>
      <c r="CO12" s="15">
        <f t="shared" si="18"/>
        <v>3128.19</v>
      </c>
      <c r="CP12" s="15">
        <f t="shared" si="18"/>
        <v>3146.3599999999997</v>
      </c>
      <c r="CQ12" s="15">
        <f t="shared" si="18"/>
        <v>3164.5299999999997</v>
      </c>
      <c r="CR12" s="15">
        <f t="shared" si="19"/>
        <v>3182.7</v>
      </c>
      <c r="CS12" s="15">
        <f t="shared" si="20"/>
        <v>3217.1374999999998</v>
      </c>
      <c r="CT12" s="15">
        <f t="shared" si="20"/>
        <v>3251.5749999999998</v>
      </c>
      <c r="CU12" s="15">
        <f t="shared" si="20"/>
        <v>3286.0124999999998</v>
      </c>
      <c r="CV12" s="15">
        <f t="shared" si="20"/>
        <v>3320.45</v>
      </c>
      <c r="CW12" s="15">
        <f t="shared" si="20"/>
        <v>3354.8874999999998</v>
      </c>
      <c r="CX12" s="15">
        <f t="shared" si="20"/>
        <v>3389.3249999999998</v>
      </c>
      <c r="CY12" s="15">
        <f t="shared" si="20"/>
        <v>3423.7624999999998</v>
      </c>
      <c r="CZ12" s="15">
        <f t="shared" si="21"/>
        <v>3458.2</v>
      </c>
      <c r="DA12" s="15">
        <f t="shared" si="22"/>
        <v>3458.1333333333332</v>
      </c>
      <c r="DB12" s="15">
        <f t="shared" si="22"/>
        <v>3458.0666666666666</v>
      </c>
      <c r="DC12" s="15">
        <f t="shared" si="23"/>
        <v>3458</v>
      </c>
      <c r="DD12" s="15">
        <f t="shared" si="26"/>
        <v>3457.52</v>
      </c>
      <c r="DE12" s="15">
        <f t="shared" si="26"/>
        <v>3457.04</v>
      </c>
      <c r="DF12" s="15">
        <f t="shared" si="26"/>
        <v>3456.56</v>
      </c>
      <c r="DG12" s="15">
        <f t="shared" si="26"/>
        <v>3456.08</v>
      </c>
      <c r="DH12" s="15">
        <f t="shared" si="24"/>
        <v>3455.6</v>
      </c>
    </row>
    <row r="13" spans="1:112" x14ac:dyDescent="0.2">
      <c r="A13" t="s">
        <v>97</v>
      </c>
      <c r="B13" s="15">
        <f t="shared" si="0"/>
        <v>609.21530754892831</v>
      </c>
      <c r="C13" s="15">
        <f t="shared" ref="C13:U13" si="28">$B13+($V5-$B5)*C$9/$V$9</f>
        <v>624.56816717148195</v>
      </c>
      <c r="D13" s="15">
        <f t="shared" si="28"/>
        <v>639.92102679403547</v>
      </c>
      <c r="E13" s="15">
        <f t="shared" si="28"/>
        <v>655.27388641658911</v>
      </c>
      <c r="F13" s="15">
        <f t="shared" si="28"/>
        <v>670.62674603914263</v>
      </c>
      <c r="G13" s="15">
        <f t="shared" si="28"/>
        <v>685.97960566169627</v>
      </c>
      <c r="H13" s="15">
        <f t="shared" si="28"/>
        <v>701.33246528424979</v>
      </c>
      <c r="I13" s="15">
        <f t="shared" si="28"/>
        <v>716.68532490680343</v>
      </c>
      <c r="J13" s="15">
        <f t="shared" si="28"/>
        <v>732.03818452935695</v>
      </c>
      <c r="K13" s="15">
        <f t="shared" si="28"/>
        <v>747.39104415191059</v>
      </c>
      <c r="L13" s="15">
        <f t="shared" si="28"/>
        <v>762.74390377446412</v>
      </c>
      <c r="M13" s="15">
        <f t="shared" si="28"/>
        <v>778.09676339701775</v>
      </c>
      <c r="N13" s="15">
        <f t="shared" si="28"/>
        <v>793.44962301957139</v>
      </c>
      <c r="O13" s="15">
        <f t="shared" si="28"/>
        <v>808.80248264212491</v>
      </c>
      <c r="P13" s="15">
        <f t="shared" si="28"/>
        <v>824.15534226467844</v>
      </c>
      <c r="Q13" s="15">
        <f t="shared" si="28"/>
        <v>839.50820188723219</v>
      </c>
      <c r="R13" s="15">
        <f t="shared" si="28"/>
        <v>854.86106150978571</v>
      </c>
      <c r="S13" s="15">
        <f t="shared" si="28"/>
        <v>870.21392113233924</v>
      </c>
      <c r="T13" s="15">
        <f t="shared" si="28"/>
        <v>885.56678075489287</v>
      </c>
      <c r="U13" s="15">
        <f t="shared" si="28"/>
        <v>900.91964037744651</v>
      </c>
      <c r="V13" s="15">
        <f t="shared" si="2"/>
        <v>916.27250000000004</v>
      </c>
      <c r="W13" s="15">
        <f t="shared" si="3"/>
        <v>907.89525000000003</v>
      </c>
      <c r="X13" s="15">
        <f t="shared" si="3"/>
        <v>899.51800000000003</v>
      </c>
      <c r="Y13" s="15">
        <f t="shared" si="3"/>
        <v>891.14075000000003</v>
      </c>
      <c r="Z13" s="15">
        <f t="shared" si="3"/>
        <v>882.76350000000002</v>
      </c>
      <c r="AA13" s="15">
        <f t="shared" si="3"/>
        <v>874.38625000000002</v>
      </c>
      <c r="AB13" s="15">
        <f t="shared" si="3"/>
        <v>866.00900000000001</v>
      </c>
      <c r="AC13" s="15">
        <f t="shared" si="3"/>
        <v>857.63175000000001</v>
      </c>
      <c r="AD13" s="15">
        <f t="shared" si="3"/>
        <v>849.25450000000001</v>
      </c>
      <c r="AE13" s="15">
        <f t="shared" si="3"/>
        <v>840.87725</v>
      </c>
      <c r="AF13" s="15">
        <f t="shared" si="4"/>
        <v>832.5</v>
      </c>
      <c r="AG13" s="15">
        <f t="shared" si="5"/>
        <v>829.58333333333337</v>
      </c>
      <c r="AH13" s="15">
        <f t="shared" si="5"/>
        <v>826.66666666666663</v>
      </c>
      <c r="AI13" s="15">
        <f t="shared" si="5"/>
        <v>823.75</v>
      </c>
      <c r="AJ13" s="15">
        <f t="shared" si="5"/>
        <v>820.83333333333337</v>
      </c>
      <c r="AK13" s="15">
        <f t="shared" si="5"/>
        <v>817.91666666666663</v>
      </c>
      <c r="AL13" s="15">
        <f t="shared" si="5"/>
        <v>815</v>
      </c>
      <c r="AM13" s="15">
        <f t="shared" si="5"/>
        <v>812.08333333333337</v>
      </c>
      <c r="AN13" s="15">
        <f t="shared" si="5"/>
        <v>809.16666666666663</v>
      </c>
      <c r="AO13" s="15">
        <f t="shared" si="5"/>
        <v>806.25</v>
      </c>
      <c r="AP13" s="15">
        <f t="shared" si="5"/>
        <v>803.33333333333337</v>
      </c>
      <c r="AQ13" s="15">
        <f t="shared" si="6"/>
        <v>800.41666666666663</v>
      </c>
      <c r="AR13" s="15">
        <f t="shared" si="6"/>
        <v>797.5</v>
      </c>
      <c r="AS13" s="15">
        <f t="shared" si="6"/>
        <v>794.58333333333337</v>
      </c>
      <c r="AT13" s="15">
        <f t="shared" si="6"/>
        <v>791.66666666666663</v>
      </c>
      <c r="AU13" s="15">
        <f t="shared" si="6"/>
        <v>788.75</v>
      </c>
      <c r="AV13" s="15">
        <f t="shared" si="6"/>
        <v>785.83333333333337</v>
      </c>
      <c r="AW13" s="15">
        <f t="shared" si="6"/>
        <v>782.91666666666663</v>
      </c>
      <c r="AX13" s="15">
        <f t="shared" si="7"/>
        <v>780</v>
      </c>
      <c r="AY13" s="15">
        <f t="shared" si="8"/>
        <v>789.67499999999995</v>
      </c>
      <c r="AZ13" s="15">
        <f t="shared" si="8"/>
        <v>799.35</v>
      </c>
      <c r="BA13" s="15">
        <f t="shared" si="8"/>
        <v>809.02499999999998</v>
      </c>
      <c r="BB13" s="15">
        <f t="shared" si="8"/>
        <v>818.7</v>
      </c>
      <c r="BC13" s="15">
        <f t="shared" si="8"/>
        <v>828.375</v>
      </c>
      <c r="BD13" s="15">
        <f t="shared" si="8"/>
        <v>838.05</v>
      </c>
      <c r="BE13" s="15">
        <f t="shared" si="8"/>
        <v>847.72500000000002</v>
      </c>
      <c r="BF13" s="15">
        <f t="shared" si="9"/>
        <v>857.4</v>
      </c>
      <c r="BG13" s="15">
        <f t="shared" si="10"/>
        <v>857.4951342780696</v>
      </c>
      <c r="BH13" s="15">
        <f t="shared" si="10"/>
        <v>857.59026855613911</v>
      </c>
      <c r="BI13" s="15">
        <f t="shared" si="10"/>
        <v>857.68540283420873</v>
      </c>
      <c r="BJ13" s="15">
        <f t="shared" si="10"/>
        <v>857.78053711227824</v>
      </c>
      <c r="BK13" s="15">
        <f t="shared" si="10"/>
        <v>857.87567139034786</v>
      </c>
      <c r="BL13" s="15">
        <f t="shared" si="11"/>
        <v>953.4</v>
      </c>
      <c r="BM13" s="15">
        <f t="shared" si="12"/>
        <v>967.4666666666667</v>
      </c>
      <c r="BN13" s="15">
        <f t="shared" si="12"/>
        <v>981.5333333333333</v>
      </c>
      <c r="BO13" s="15">
        <f t="shared" si="12"/>
        <v>995.59999999999991</v>
      </c>
      <c r="BP13" s="15">
        <f t="shared" si="12"/>
        <v>1009.6666666666666</v>
      </c>
      <c r="BQ13" s="15">
        <f t="shared" si="12"/>
        <v>1023.7333333333333</v>
      </c>
      <c r="BR13" s="15">
        <f t="shared" si="13"/>
        <v>1037.8</v>
      </c>
      <c r="BS13" s="15">
        <f t="shared" si="14"/>
        <v>1037.8462886532477</v>
      </c>
      <c r="BT13" s="15">
        <f t="shared" si="14"/>
        <v>1037.8925773064957</v>
      </c>
      <c r="BU13" s="15">
        <f t="shared" si="14"/>
        <v>1037.9388659597435</v>
      </c>
      <c r="BV13" s="15">
        <f t="shared" si="14"/>
        <v>1037.9851546129912</v>
      </c>
      <c r="BW13" s="15">
        <f t="shared" si="14"/>
        <v>1038.0314432662392</v>
      </c>
      <c r="BX13" s="15">
        <f t="shared" si="15"/>
        <v>1110.7</v>
      </c>
      <c r="BY13" s="15">
        <f t="shared" si="16"/>
        <v>1119.22</v>
      </c>
      <c r="BZ13" s="15">
        <f t="shared" si="16"/>
        <v>1127.74</v>
      </c>
      <c r="CA13" s="15">
        <f t="shared" si="16"/>
        <v>1136.26</v>
      </c>
      <c r="CB13" s="15">
        <f t="shared" si="16"/>
        <v>1144.78</v>
      </c>
      <c r="CC13" s="15">
        <f t="shared" si="16"/>
        <v>1153.3000000000002</v>
      </c>
      <c r="CD13" s="15">
        <f t="shared" si="16"/>
        <v>1161.8200000000002</v>
      </c>
      <c r="CE13" s="15">
        <f t="shared" si="16"/>
        <v>1170.3400000000001</v>
      </c>
      <c r="CF13" s="15">
        <f t="shared" si="16"/>
        <v>1178.8600000000001</v>
      </c>
      <c r="CG13" s="15">
        <f t="shared" si="16"/>
        <v>1187.3800000000001</v>
      </c>
      <c r="CH13" s="15">
        <f t="shared" si="17"/>
        <v>1195.9000000000001</v>
      </c>
      <c r="CI13" s="15">
        <f t="shared" si="18"/>
        <v>1208.5300000000002</v>
      </c>
      <c r="CJ13" s="15">
        <f t="shared" si="18"/>
        <v>1221.1600000000001</v>
      </c>
      <c r="CK13" s="15">
        <f t="shared" si="18"/>
        <v>1233.79</v>
      </c>
      <c r="CL13" s="15">
        <f t="shared" si="18"/>
        <v>1246.42</v>
      </c>
      <c r="CM13" s="15">
        <f t="shared" si="18"/>
        <v>1259.0500000000002</v>
      </c>
      <c r="CN13" s="15">
        <f t="shared" si="18"/>
        <v>1271.68</v>
      </c>
      <c r="CO13" s="15">
        <f t="shared" si="18"/>
        <v>1284.31</v>
      </c>
      <c r="CP13" s="15">
        <f t="shared" si="18"/>
        <v>1296.94</v>
      </c>
      <c r="CQ13" s="15">
        <f t="shared" si="18"/>
        <v>1309.5700000000002</v>
      </c>
      <c r="CR13" s="15">
        <f t="shared" si="19"/>
        <v>1322.2</v>
      </c>
      <c r="CS13" s="15">
        <f t="shared" si="20"/>
        <v>1332.7125000000001</v>
      </c>
      <c r="CT13" s="15">
        <f t="shared" si="20"/>
        <v>1343.2249999999999</v>
      </c>
      <c r="CU13" s="15">
        <f t="shared" si="20"/>
        <v>1353.7375</v>
      </c>
      <c r="CV13" s="15">
        <f t="shared" si="20"/>
        <v>1364.25</v>
      </c>
      <c r="CW13" s="15">
        <f t="shared" si="20"/>
        <v>1374.7625</v>
      </c>
      <c r="CX13" s="15">
        <f t="shared" si="20"/>
        <v>1385.2750000000001</v>
      </c>
      <c r="CY13" s="15">
        <f t="shared" si="20"/>
        <v>1395.7874999999999</v>
      </c>
      <c r="CZ13" s="15">
        <f t="shared" si="21"/>
        <v>1406.3</v>
      </c>
      <c r="DA13" s="15">
        <f t="shared" si="22"/>
        <v>1396.8</v>
      </c>
      <c r="DB13" s="15">
        <f t="shared" si="22"/>
        <v>1387.3</v>
      </c>
      <c r="DC13" s="15">
        <f t="shared" si="23"/>
        <v>1377.8</v>
      </c>
      <c r="DD13" s="15">
        <f t="shared" si="26"/>
        <v>1380.06</v>
      </c>
      <c r="DE13" s="15">
        <f t="shared" si="26"/>
        <v>1382.32</v>
      </c>
      <c r="DF13" s="15">
        <f t="shared" si="26"/>
        <v>1384.58</v>
      </c>
      <c r="DG13" s="15">
        <f t="shared" si="26"/>
        <v>1386.84</v>
      </c>
      <c r="DH13" s="15">
        <f t="shared" si="24"/>
        <v>1389.1</v>
      </c>
    </row>
    <row r="14" spans="1:112" x14ac:dyDescent="0.2">
      <c r="A14" t="s">
        <v>100</v>
      </c>
      <c r="B14" s="15">
        <f t="shared" si="0"/>
        <v>613.9912272725835</v>
      </c>
      <c r="C14" s="15">
        <f t="shared" ref="C14:U14" si="29">$B14+($V6-$B6)*C$9/$V$9</f>
        <v>609.13554888767771</v>
      </c>
      <c r="D14" s="15">
        <f t="shared" si="29"/>
        <v>604.27987050277193</v>
      </c>
      <c r="E14" s="15">
        <f t="shared" si="29"/>
        <v>599.42419211786614</v>
      </c>
      <c r="F14" s="15">
        <f t="shared" si="29"/>
        <v>594.56851373296047</v>
      </c>
      <c r="G14" s="15">
        <f t="shared" si="29"/>
        <v>589.71283534805468</v>
      </c>
      <c r="H14" s="15">
        <f t="shared" si="29"/>
        <v>584.8571569631489</v>
      </c>
      <c r="I14" s="15">
        <f t="shared" si="29"/>
        <v>580.00147857824311</v>
      </c>
      <c r="J14" s="15">
        <f t="shared" si="29"/>
        <v>575.14580019333732</v>
      </c>
      <c r="K14" s="15">
        <f t="shared" si="29"/>
        <v>570.29012180843154</v>
      </c>
      <c r="L14" s="15">
        <f t="shared" si="29"/>
        <v>565.43444342352586</v>
      </c>
      <c r="M14" s="15">
        <f t="shared" si="29"/>
        <v>560.57876503862008</v>
      </c>
      <c r="N14" s="15">
        <f t="shared" si="29"/>
        <v>555.72308665371429</v>
      </c>
      <c r="O14" s="15">
        <f t="shared" si="29"/>
        <v>550.8674082688085</v>
      </c>
      <c r="P14" s="15">
        <f t="shared" si="29"/>
        <v>546.01172988390272</v>
      </c>
      <c r="Q14" s="15">
        <f t="shared" si="29"/>
        <v>541.15605149899693</v>
      </c>
      <c r="R14" s="15">
        <f t="shared" si="29"/>
        <v>536.30037311409114</v>
      </c>
      <c r="S14" s="15">
        <f t="shared" si="29"/>
        <v>531.44469472918547</v>
      </c>
      <c r="T14" s="15">
        <f t="shared" si="29"/>
        <v>526.58901634427968</v>
      </c>
      <c r="U14" s="15">
        <f t="shared" si="29"/>
        <v>521.7333379593739</v>
      </c>
      <c r="V14" s="15">
        <f t="shared" si="2"/>
        <v>516.87765957446811</v>
      </c>
      <c r="W14" s="15">
        <f t="shared" si="3"/>
        <v>524.17819148936178</v>
      </c>
      <c r="X14" s="15">
        <f t="shared" si="3"/>
        <v>531.47872340425533</v>
      </c>
      <c r="Y14" s="15">
        <f t="shared" si="3"/>
        <v>538.77925531914889</v>
      </c>
      <c r="Z14" s="15">
        <f t="shared" si="3"/>
        <v>546.07978723404256</v>
      </c>
      <c r="AA14" s="15">
        <f t="shared" si="3"/>
        <v>553.38031914893622</v>
      </c>
      <c r="AB14" s="15">
        <f t="shared" si="3"/>
        <v>560.68085106382978</v>
      </c>
      <c r="AC14" s="15">
        <f t="shared" si="3"/>
        <v>567.98138297872333</v>
      </c>
      <c r="AD14" s="15">
        <f t="shared" si="3"/>
        <v>575.281914893617</v>
      </c>
      <c r="AE14" s="15">
        <f t="shared" si="3"/>
        <v>582.58244680851067</v>
      </c>
      <c r="AF14" s="15">
        <f t="shared" si="4"/>
        <v>589.88297872340422</v>
      </c>
      <c r="AG14" s="15">
        <f t="shared" si="5"/>
        <v>587.61170212765956</v>
      </c>
      <c r="AH14" s="15">
        <f t="shared" si="5"/>
        <v>585.34042553191489</v>
      </c>
      <c r="AI14" s="15">
        <f t="shared" si="5"/>
        <v>583.06914893617022</v>
      </c>
      <c r="AJ14" s="15">
        <f t="shared" si="5"/>
        <v>580.79787234042556</v>
      </c>
      <c r="AK14" s="15">
        <f t="shared" si="5"/>
        <v>578.52659574468078</v>
      </c>
      <c r="AL14" s="15">
        <f t="shared" si="5"/>
        <v>576.25531914893611</v>
      </c>
      <c r="AM14" s="15">
        <f t="shared" si="5"/>
        <v>573.98404255319144</v>
      </c>
      <c r="AN14" s="15">
        <f t="shared" si="5"/>
        <v>571.71276595744678</v>
      </c>
      <c r="AO14" s="15">
        <f t="shared" si="5"/>
        <v>569.44148936170211</v>
      </c>
      <c r="AP14" s="15">
        <f t="shared" si="5"/>
        <v>567.17021276595744</v>
      </c>
      <c r="AQ14" s="15">
        <f t="shared" si="6"/>
        <v>564.89893617021278</v>
      </c>
      <c r="AR14" s="15">
        <f t="shared" si="6"/>
        <v>562.62765957446811</v>
      </c>
      <c r="AS14" s="15">
        <f t="shared" si="6"/>
        <v>560.35638297872345</v>
      </c>
      <c r="AT14" s="15">
        <f t="shared" si="6"/>
        <v>558.08510638297867</v>
      </c>
      <c r="AU14" s="15">
        <f t="shared" si="6"/>
        <v>555.813829787234</v>
      </c>
      <c r="AV14" s="15">
        <f t="shared" si="6"/>
        <v>553.54255319148933</v>
      </c>
      <c r="AW14" s="15">
        <f t="shared" si="6"/>
        <v>551.27127659574467</v>
      </c>
      <c r="AX14" s="15">
        <f t="shared" si="7"/>
        <v>549</v>
      </c>
      <c r="AY14" s="15">
        <f t="shared" si="8"/>
        <v>548.48749999999995</v>
      </c>
      <c r="AZ14" s="15">
        <f t="shared" si="8"/>
        <v>547.97500000000002</v>
      </c>
      <c r="BA14" s="15">
        <f t="shared" si="8"/>
        <v>547.46249999999998</v>
      </c>
      <c r="BB14" s="15">
        <f t="shared" si="8"/>
        <v>546.95000000000005</v>
      </c>
      <c r="BC14" s="15">
        <f t="shared" si="8"/>
        <v>546.4375</v>
      </c>
      <c r="BD14" s="15">
        <f t="shared" si="8"/>
        <v>545.92499999999995</v>
      </c>
      <c r="BE14" s="15">
        <f t="shared" si="8"/>
        <v>545.41250000000002</v>
      </c>
      <c r="BF14" s="15">
        <f t="shared" si="9"/>
        <v>544.9</v>
      </c>
      <c r="BG14" s="15">
        <f t="shared" si="10"/>
        <v>544.88731542959067</v>
      </c>
      <c r="BH14" s="15">
        <f t="shared" si="10"/>
        <v>544.87463085918148</v>
      </c>
      <c r="BI14" s="15">
        <f t="shared" si="10"/>
        <v>544.86194628877217</v>
      </c>
      <c r="BJ14" s="15">
        <f t="shared" si="10"/>
        <v>544.84926171836287</v>
      </c>
      <c r="BK14" s="15">
        <f t="shared" si="10"/>
        <v>544.83657714795356</v>
      </c>
      <c r="BL14" s="15">
        <f t="shared" si="11"/>
        <v>532.1</v>
      </c>
      <c r="BM14" s="15">
        <f t="shared" si="12"/>
        <v>528.58333333333337</v>
      </c>
      <c r="BN14" s="15">
        <f t="shared" si="12"/>
        <v>525.06666666666672</v>
      </c>
      <c r="BO14" s="15">
        <f t="shared" si="12"/>
        <v>521.54999999999995</v>
      </c>
      <c r="BP14" s="15">
        <f t="shared" si="12"/>
        <v>518.0333333333333</v>
      </c>
      <c r="BQ14" s="15">
        <f t="shared" si="12"/>
        <v>514.51666666666665</v>
      </c>
      <c r="BR14" s="15">
        <f t="shared" si="13"/>
        <v>511</v>
      </c>
      <c r="BS14" s="15">
        <f t="shared" si="14"/>
        <v>510.99866658200523</v>
      </c>
      <c r="BT14" s="15">
        <f t="shared" si="14"/>
        <v>510.9973331640104</v>
      </c>
      <c r="BU14" s="15">
        <f t="shared" si="14"/>
        <v>510.99599974601563</v>
      </c>
      <c r="BV14" s="15">
        <f t="shared" si="14"/>
        <v>510.9946663280208</v>
      </c>
      <c r="BW14" s="15">
        <f t="shared" si="14"/>
        <v>510.99333291002603</v>
      </c>
      <c r="BX14" s="15">
        <f t="shared" si="15"/>
        <v>508.9</v>
      </c>
      <c r="BY14" s="15">
        <f t="shared" si="16"/>
        <v>513.6</v>
      </c>
      <c r="BZ14" s="15">
        <f t="shared" si="16"/>
        <v>518.29999999999995</v>
      </c>
      <c r="CA14" s="15">
        <f t="shared" si="16"/>
        <v>523</v>
      </c>
      <c r="CB14" s="15">
        <f t="shared" si="16"/>
        <v>527.69999999999993</v>
      </c>
      <c r="CC14" s="15">
        <f t="shared" si="16"/>
        <v>532.4</v>
      </c>
      <c r="CD14" s="15">
        <f t="shared" si="16"/>
        <v>537.1</v>
      </c>
      <c r="CE14" s="15">
        <f t="shared" si="16"/>
        <v>541.79999999999995</v>
      </c>
      <c r="CF14" s="15">
        <f t="shared" si="16"/>
        <v>546.5</v>
      </c>
      <c r="CG14" s="15">
        <f t="shared" si="16"/>
        <v>551.19999999999993</v>
      </c>
      <c r="CH14" s="15">
        <f t="shared" si="17"/>
        <v>555.9</v>
      </c>
      <c r="CI14" s="15">
        <f t="shared" si="18"/>
        <v>588.46</v>
      </c>
      <c r="CJ14" s="15">
        <f t="shared" si="18"/>
        <v>621.02</v>
      </c>
      <c r="CK14" s="15">
        <f t="shared" si="18"/>
        <v>653.57999999999993</v>
      </c>
      <c r="CL14" s="15">
        <f t="shared" si="18"/>
        <v>686.14</v>
      </c>
      <c r="CM14" s="15">
        <f t="shared" si="18"/>
        <v>718.7</v>
      </c>
      <c r="CN14" s="15">
        <f t="shared" si="18"/>
        <v>751.26</v>
      </c>
      <c r="CO14" s="15">
        <f t="shared" si="18"/>
        <v>783.81999999999994</v>
      </c>
      <c r="CP14" s="15">
        <f t="shared" si="18"/>
        <v>816.38</v>
      </c>
      <c r="CQ14" s="15">
        <f t="shared" si="18"/>
        <v>848.94</v>
      </c>
      <c r="CR14" s="15">
        <f t="shared" si="19"/>
        <v>881.5</v>
      </c>
      <c r="CS14" s="15">
        <f t="shared" si="20"/>
        <v>865.16250000000002</v>
      </c>
      <c r="CT14" s="15">
        <f t="shared" si="20"/>
        <v>848.82500000000005</v>
      </c>
      <c r="CU14" s="15">
        <f t="shared" si="20"/>
        <v>832.48749999999995</v>
      </c>
      <c r="CV14" s="15">
        <f t="shared" si="20"/>
        <v>816.15</v>
      </c>
      <c r="CW14" s="15">
        <f t="shared" si="20"/>
        <v>799.8125</v>
      </c>
      <c r="CX14" s="15">
        <f t="shared" si="20"/>
        <v>783.47499999999991</v>
      </c>
      <c r="CY14" s="15">
        <f t="shared" si="20"/>
        <v>767.13749999999993</v>
      </c>
      <c r="CZ14" s="15">
        <f t="shared" si="21"/>
        <v>750.8</v>
      </c>
      <c r="DA14" s="15">
        <f t="shared" si="22"/>
        <v>767.6</v>
      </c>
      <c r="DB14" s="15">
        <f t="shared" si="22"/>
        <v>784.4</v>
      </c>
      <c r="DC14" s="15">
        <f t="shared" si="23"/>
        <v>801.2</v>
      </c>
      <c r="DD14" s="15">
        <f t="shared" si="26"/>
        <v>813.38</v>
      </c>
      <c r="DE14" s="15">
        <f t="shared" si="26"/>
        <v>825.56000000000006</v>
      </c>
      <c r="DF14" s="15">
        <f t="shared" si="26"/>
        <v>837.74</v>
      </c>
      <c r="DG14" s="15">
        <f t="shared" si="26"/>
        <v>849.92000000000007</v>
      </c>
      <c r="DH14" s="15">
        <f t="shared" si="24"/>
        <v>862.1</v>
      </c>
    </row>
    <row r="15" spans="1:112" x14ac:dyDescent="0.2">
      <c r="A15" t="s">
        <v>89</v>
      </c>
      <c r="B15" s="15">
        <f t="shared" si="0"/>
        <v>246.72972661343391</v>
      </c>
      <c r="C15" s="15">
        <f t="shared" ref="C15:U15" si="30">$B15+($V7-$B7)*C$9/$V$9</f>
        <v>242.16453888248401</v>
      </c>
      <c r="D15" s="15">
        <f t="shared" si="30"/>
        <v>237.59935115153411</v>
      </c>
      <c r="E15" s="15">
        <f t="shared" si="30"/>
        <v>233.03416342058421</v>
      </c>
      <c r="F15" s="15">
        <f t="shared" si="30"/>
        <v>228.46897568963428</v>
      </c>
      <c r="G15" s="15">
        <f t="shared" si="30"/>
        <v>223.90378795868438</v>
      </c>
      <c r="H15" s="15">
        <f t="shared" si="30"/>
        <v>219.33860022773447</v>
      </c>
      <c r="I15" s="15">
        <f t="shared" si="30"/>
        <v>214.77341249678457</v>
      </c>
      <c r="J15" s="15">
        <f t="shared" si="30"/>
        <v>210.20822476583467</v>
      </c>
      <c r="K15" s="15">
        <f t="shared" si="30"/>
        <v>205.64303703488474</v>
      </c>
      <c r="L15" s="15">
        <f t="shared" si="30"/>
        <v>201.07784930393484</v>
      </c>
      <c r="M15" s="15">
        <f t="shared" si="30"/>
        <v>196.51266157298494</v>
      </c>
      <c r="N15" s="15">
        <f t="shared" si="30"/>
        <v>191.94747384203504</v>
      </c>
      <c r="O15" s="15">
        <f t="shared" si="30"/>
        <v>187.38228611108514</v>
      </c>
      <c r="P15" s="15">
        <f t="shared" si="30"/>
        <v>182.81709838013523</v>
      </c>
      <c r="Q15" s="15">
        <f t="shared" si="30"/>
        <v>178.25191064918533</v>
      </c>
      <c r="R15" s="15">
        <f t="shared" si="30"/>
        <v>173.68672291823543</v>
      </c>
      <c r="S15" s="15">
        <f t="shared" si="30"/>
        <v>169.12153518728553</v>
      </c>
      <c r="T15" s="15">
        <f t="shared" si="30"/>
        <v>164.5563474563356</v>
      </c>
      <c r="U15" s="15">
        <f t="shared" si="30"/>
        <v>159.9911597253857</v>
      </c>
      <c r="V15" s="15">
        <f t="shared" si="2"/>
        <v>155.4259719944358</v>
      </c>
      <c r="W15" s="15">
        <f t="shared" si="3"/>
        <v>152.88410235585721</v>
      </c>
      <c r="X15" s="15">
        <f t="shared" si="3"/>
        <v>150.34223271727862</v>
      </c>
      <c r="Y15" s="15">
        <f t="shared" si="3"/>
        <v>147.8003630787</v>
      </c>
      <c r="Z15" s="15">
        <f t="shared" si="3"/>
        <v>145.25849344012141</v>
      </c>
      <c r="AA15" s="15">
        <f t="shared" si="3"/>
        <v>142.71662380154282</v>
      </c>
      <c r="AB15" s="15">
        <f t="shared" si="3"/>
        <v>140.17475416296423</v>
      </c>
      <c r="AC15" s="15">
        <f t="shared" si="3"/>
        <v>137.63288452438564</v>
      </c>
      <c r="AD15" s="15">
        <f t="shared" si="3"/>
        <v>135.09101488580703</v>
      </c>
      <c r="AE15" s="15">
        <f t="shared" si="3"/>
        <v>132.54914524722844</v>
      </c>
      <c r="AF15" s="15">
        <f t="shared" si="4"/>
        <v>130.00727560864985</v>
      </c>
      <c r="AG15" s="15">
        <f t="shared" si="5"/>
        <v>128.3990755224354</v>
      </c>
      <c r="AH15" s="15">
        <f t="shared" si="5"/>
        <v>126.79087543622094</v>
      </c>
      <c r="AI15" s="15">
        <f t="shared" si="5"/>
        <v>125.18267535000649</v>
      </c>
      <c r="AJ15" s="15">
        <f t="shared" si="5"/>
        <v>123.57447526379204</v>
      </c>
      <c r="AK15" s="15">
        <f t="shared" si="5"/>
        <v>121.96627517757759</v>
      </c>
      <c r="AL15" s="15">
        <f t="shared" si="5"/>
        <v>120.35807509136315</v>
      </c>
      <c r="AM15" s="15">
        <f t="shared" si="5"/>
        <v>118.7498750051487</v>
      </c>
      <c r="AN15" s="15">
        <f t="shared" si="5"/>
        <v>117.14167491893424</v>
      </c>
      <c r="AO15" s="15">
        <f t="shared" si="5"/>
        <v>115.53347483271979</v>
      </c>
      <c r="AP15" s="15">
        <f t="shared" si="5"/>
        <v>113.92527474650534</v>
      </c>
      <c r="AQ15" s="15">
        <f t="shared" si="6"/>
        <v>112.31707466029088</v>
      </c>
      <c r="AR15" s="15">
        <f t="shared" si="6"/>
        <v>110.70887457407643</v>
      </c>
      <c r="AS15" s="15">
        <f t="shared" si="6"/>
        <v>109.10067448786199</v>
      </c>
      <c r="AT15" s="15">
        <f t="shared" si="6"/>
        <v>107.49247440164754</v>
      </c>
      <c r="AU15" s="15">
        <f t="shared" si="6"/>
        <v>105.88427431543309</v>
      </c>
      <c r="AV15" s="15">
        <f t="shared" si="6"/>
        <v>104.27607422921864</v>
      </c>
      <c r="AW15" s="15">
        <f t="shared" si="6"/>
        <v>102.66787414300418</v>
      </c>
      <c r="AX15" s="15">
        <f t="shared" si="7"/>
        <v>101.05967405678973</v>
      </c>
      <c r="AY15" s="15">
        <f t="shared" si="8"/>
        <v>100.03971479969101</v>
      </c>
      <c r="AZ15" s="15">
        <f t="shared" si="8"/>
        <v>99.019755542592293</v>
      </c>
      <c r="BA15" s="15">
        <f t="shared" si="8"/>
        <v>97.999796285493588</v>
      </c>
      <c r="BB15" s="15">
        <f t="shared" si="8"/>
        <v>96.979837028394869</v>
      </c>
      <c r="BC15" s="15">
        <f t="shared" si="8"/>
        <v>95.959877771296149</v>
      </c>
      <c r="BD15" s="15">
        <f t="shared" si="8"/>
        <v>94.939918514197444</v>
      </c>
      <c r="BE15" s="15">
        <f t="shared" si="8"/>
        <v>93.919959257098725</v>
      </c>
      <c r="BF15" s="15">
        <f t="shared" si="9"/>
        <v>92.9</v>
      </c>
      <c r="BG15" s="15">
        <f t="shared" si="10"/>
        <v>92.89524328609653</v>
      </c>
      <c r="BH15" s="15">
        <f t="shared" si="10"/>
        <v>92.890486572193055</v>
      </c>
      <c r="BI15" s="15">
        <f t="shared" si="10"/>
        <v>92.885729858289565</v>
      </c>
      <c r="BJ15" s="15">
        <f t="shared" si="10"/>
        <v>92.88097314438609</v>
      </c>
      <c r="BK15" s="15">
        <f t="shared" si="10"/>
        <v>92.876216430482614</v>
      </c>
      <c r="BL15" s="15">
        <f t="shared" si="11"/>
        <v>88.1</v>
      </c>
      <c r="BM15" s="15">
        <f t="shared" si="12"/>
        <v>86.033333333333331</v>
      </c>
      <c r="BN15" s="15">
        <f t="shared" si="12"/>
        <v>83.966666666666669</v>
      </c>
      <c r="BO15" s="15">
        <f t="shared" si="12"/>
        <v>81.900000000000006</v>
      </c>
      <c r="BP15" s="15">
        <f t="shared" si="12"/>
        <v>79.833333333333329</v>
      </c>
      <c r="BQ15" s="15">
        <f t="shared" si="12"/>
        <v>77.766666666666666</v>
      </c>
      <c r="BR15" s="15">
        <f t="shared" si="13"/>
        <v>75.7</v>
      </c>
      <c r="BS15" s="15">
        <f t="shared" si="14"/>
        <v>75.689015175566709</v>
      </c>
      <c r="BT15" s="15">
        <f t="shared" si="14"/>
        <v>75.678030351133401</v>
      </c>
      <c r="BU15" s="15">
        <f t="shared" si="14"/>
        <v>75.667045526700107</v>
      </c>
      <c r="BV15" s="15">
        <f t="shared" si="14"/>
        <v>75.656060702266814</v>
      </c>
      <c r="BW15" s="15">
        <f t="shared" si="14"/>
        <v>75.64507587783352</v>
      </c>
      <c r="BX15" s="15">
        <f t="shared" si="15"/>
        <v>58.4</v>
      </c>
      <c r="BY15" s="15">
        <f t="shared" si="16"/>
        <v>59.26</v>
      </c>
      <c r="BZ15" s="15">
        <f t="shared" si="16"/>
        <v>60.12</v>
      </c>
      <c r="CA15" s="15">
        <f t="shared" si="16"/>
        <v>60.98</v>
      </c>
      <c r="CB15" s="15">
        <f t="shared" si="16"/>
        <v>61.839999999999996</v>
      </c>
      <c r="CC15" s="15">
        <f t="shared" si="16"/>
        <v>62.7</v>
      </c>
      <c r="CD15" s="15">
        <f t="shared" si="16"/>
        <v>63.56</v>
      </c>
      <c r="CE15" s="15">
        <f t="shared" si="16"/>
        <v>64.42</v>
      </c>
      <c r="CF15" s="15">
        <f t="shared" si="16"/>
        <v>65.28</v>
      </c>
      <c r="CG15" s="15">
        <f t="shared" si="16"/>
        <v>66.14</v>
      </c>
      <c r="CH15" s="15">
        <f t="shared" si="17"/>
        <v>67</v>
      </c>
      <c r="CI15" s="15">
        <f t="shared" si="18"/>
        <v>73.56</v>
      </c>
      <c r="CJ15" s="15">
        <f t="shared" si="18"/>
        <v>80.12</v>
      </c>
      <c r="CK15" s="15">
        <f t="shared" si="18"/>
        <v>86.68</v>
      </c>
      <c r="CL15" s="15">
        <f t="shared" si="18"/>
        <v>93.24</v>
      </c>
      <c r="CM15" s="15">
        <f t="shared" si="18"/>
        <v>99.8</v>
      </c>
      <c r="CN15" s="15">
        <f t="shared" si="18"/>
        <v>106.36</v>
      </c>
      <c r="CO15" s="15">
        <f t="shared" si="18"/>
        <v>112.91999999999999</v>
      </c>
      <c r="CP15" s="15">
        <f t="shared" si="18"/>
        <v>119.47999999999999</v>
      </c>
      <c r="CQ15" s="15">
        <f t="shared" si="18"/>
        <v>126.03999999999999</v>
      </c>
      <c r="CR15" s="15">
        <f t="shared" si="19"/>
        <v>132.6</v>
      </c>
      <c r="CS15" s="15">
        <f t="shared" si="20"/>
        <v>139.125</v>
      </c>
      <c r="CT15" s="15">
        <f t="shared" si="20"/>
        <v>145.65</v>
      </c>
      <c r="CU15" s="15">
        <f t="shared" si="20"/>
        <v>152.17500000000001</v>
      </c>
      <c r="CV15" s="15">
        <f t="shared" si="20"/>
        <v>158.69999999999999</v>
      </c>
      <c r="CW15" s="15">
        <f t="shared" si="20"/>
        <v>165.22500000000002</v>
      </c>
      <c r="CX15" s="15">
        <f t="shared" si="20"/>
        <v>171.75</v>
      </c>
      <c r="CY15" s="15">
        <f t="shared" si="20"/>
        <v>178.27500000000001</v>
      </c>
      <c r="CZ15" s="15">
        <f t="shared" si="21"/>
        <v>184.8</v>
      </c>
      <c r="DA15" s="15">
        <f t="shared" si="22"/>
        <v>183.96666666666667</v>
      </c>
      <c r="DB15" s="15">
        <f t="shared" si="22"/>
        <v>183.13333333333335</v>
      </c>
      <c r="DC15" s="15">
        <f t="shared" si="23"/>
        <v>182.3</v>
      </c>
      <c r="DD15" s="15">
        <f t="shared" si="26"/>
        <v>176.28</v>
      </c>
      <c r="DE15" s="15">
        <f t="shared" si="26"/>
        <v>170.26</v>
      </c>
      <c r="DF15" s="15">
        <f t="shared" si="26"/>
        <v>164.24</v>
      </c>
      <c r="DG15" s="15">
        <f t="shared" si="26"/>
        <v>158.22</v>
      </c>
      <c r="DH15" s="15">
        <f t="shared" si="24"/>
        <v>152.19999999999999</v>
      </c>
    </row>
  </sheetData>
  <phoneticPr fontId="0" type="noConversion"/>
  <pageMargins left="0.78740157499999996" right="0.78740157499999996" top="0.984251969" bottom="0.984251969" header="0.4921259845" footer="0.4921259845"/>
  <pageSetup paperSize="9"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tertiaire ancienne série</vt:lpstr>
      <vt:lpstr>calcul intermédiaire1</vt:lpstr>
      <vt:lpstr>calcul intermédiaire2</vt:lpstr>
      <vt:lpstr>emploi tertiaire série publiée</vt:lpstr>
      <vt:lpstr>emploi 38</vt:lpstr>
      <vt:lpstr>emploi 88</vt:lpstr>
      <vt:lpstr>calcul intermédiaire1 grahique</vt:lpstr>
      <vt:lpstr>clacul intermédiaire2 graphique</vt:lpstr>
      <vt:lpstr>calcul intermédiaire3 graphique</vt:lpstr>
      <vt:lpstr>calcul intermédiaire4 graphique</vt:lpstr>
      <vt:lpstr>graphique 2 tertiaire</vt:lpstr>
    </vt:vector>
  </TitlesOfParts>
  <Company>INSEE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Braibant Michel</dc:creator>
  <cp:lastModifiedBy>pc</cp:lastModifiedBy>
  <dcterms:created xsi:type="dcterms:W3CDTF">2013-11-04T13:16:04Z</dcterms:created>
  <dcterms:modified xsi:type="dcterms:W3CDTF">2025-01-28T13:06:21Z</dcterms:modified>
</cp:coreProperties>
</file>